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good\Desktop\"/>
    </mc:Choice>
  </mc:AlternateContent>
  <xr:revisionPtr revIDLastSave="0" documentId="13_ncr:1_{BD6EC317-36C8-4529-9517-38B808DDC098}" xr6:coauthVersionLast="45" xr6:coauthVersionMax="45" xr10:uidLastSave="{00000000-0000-0000-0000-000000000000}"/>
  <bookViews>
    <workbookView xWindow="-120" yWindow="-120" windowWidth="19440" windowHeight="10440" activeTab="2" xr2:uid="{00000000-000D-0000-FFFF-FFFF00000000}"/>
  </bookViews>
  <sheets>
    <sheet name="First Sheet" sheetId="4" r:id="rId1"/>
    <sheet name="Paint-only in-shop" sheetId="1" r:id="rId2"/>
    <sheet name="TS+Paint in-shop" sheetId="3" r:id="rId3"/>
    <sheet name="Maintenance Paint-Only" sheetId="10" r:id="rId4"/>
    <sheet name="Maintenance TS+Paint" sheetId="7" r:id="rId5"/>
    <sheet name="Final Sheet" sheetId="8" r:id="rId6"/>
    <sheet name="Menus" sheetId="9" r:id="rId7"/>
  </sheets>
  <definedNames>
    <definedName name="FieldMaintTable">Menus!$A$17:$B$20</definedName>
    <definedName name="LookupInShop">Menus!$A$8:$B$13</definedName>
    <definedName name="ValidFieldM">Menus!$A$17:$A$20</definedName>
    <definedName name="ValidInShop">Menus!$A$8:$A$13</definedName>
    <definedName name="ValidProtectionChoices">Menus!#REF!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6" i="3" l="1"/>
  <c r="C26" i="3"/>
  <c r="D26" i="3"/>
  <c r="E26" i="3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K4" i="7"/>
  <c r="W4" i="10"/>
  <c r="X4" i="10"/>
  <c r="Y4" i="10"/>
  <c r="Z4" i="10"/>
  <c r="AA4" i="10"/>
  <c r="AB4" i="10"/>
  <c r="AC4" i="10"/>
  <c r="AD4" i="10"/>
  <c r="AE4" i="10"/>
  <c r="AF4" i="10"/>
  <c r="AG4" i="10"/>
  <c r="AH4" i="10"/>
  <c r="V4" i="10"/>
  <c r="L4" i="10"/>
  <c r="M4" i="10"/>
  <c r="N4" i="10"/>
  <c r="O4" i="10"/>
  <c r="P4" i="10"/>
  <c r="Q4" i="10"/>
  <c r="R4" i="10"/>
  <c r="S4" i="10"/>
  <c r="T4" i="10"/>
  <c r="U4" i="10"/>
  <c r="K4" i="10"/>
  <c r="J74" i="7"/>
  <c r="J46" i="7"/>
  <c r="J51" i="7"/>
  <c r="J56" i="7"/>
  <c r="J61" i="7"/>
  <c r="J66" i="7"/>
  <c r="J71" i="7"/>
  <c r="J79" i="7"/>
  <c r="J18" i="7"/>
  <c r="J23" i="7"/>
  <c r="J28" i="7"/>
  <c r="J34" i="7"/>
  <c r="J40" i="7"/>
  <c r="J84" i="7"/>
  <c r="F4" i="7"/>
  <c r="J9" i="7"/>
  <c r="J89" i="7"/>
  <c r="J97" i="7"/>
  <c r="J74" i="10"/>
  <c r="K74" i="10"/>
  <c r="B24" i="1"/>
  <c r="B22" i="1"/>
  <c r="B14" i="1"/>
  <c r="B29" i="1"/>
  <c r="B32" i="1"/>
  <c r="B34" i="1"/>
  <c r="I3" i="8"/>
  <c r="B23" i="3"/>
  <c r="B21" i="3"/>
  <c r="B12" i="3"/>
  <c r="B28" i="3"/>
  <c r="B32" i="3"/>
  <c r="B34" i="3"/>
  <c r="I7" i="8"/>
  <c r="C24" i="1"/>
  <c r="C22" i="1"/>
  <c r="C14" i="1"/>
  <c r="C29" i="1"/>
  <c r="C32" i="1"/>
  <c r="C34" i="1"/>
  <c r="H3" i="8"/>
  <c r="J46" i="10"/>
  <c r="J51" i="10"/>
  <c r="J56" i="10"/>
  <c r="J61" i="10"/>
  <c r="J66" i="10"/>
  <c r="J71" i="10"/>
  <c r="J79" i="10"/>
  <c r="J18" i="10"/>
  <c r="J23" i="10"/>
  <c r="J28" i="10"/>
  <c r="J34" i="10"/>
  <c r="J40" i="10"/>
  <c r="J84" i="10"/>
  <c r="F4" i="10"/>
  <c r="J9" i="10"/>
  <c r="J89" i="10"/>
  <c r="J97" i="10"/>
  <c r="D30" i="8"/>
  <c r="J44" i="10"/>
  <c r="J49" i="10"/>
  <c r="J54" i="10"/>
  <c r="J59" i="10"/>
  <c r="J64" i="10"/>
  <c r="J69" i="10"/>
  <c r="J77" i="10"/>
  <c r="J16" i="10"/>
  <c r="J21" i="10"/>
  <c r="J26" i="10"/>
  <c r="J32" i="10"/>
  <c r="J38" i="10"/>
  <c r="J82" i="10"/>
  <c r="D31" i="8"/>
  <c r="J19" i="8"/>
  <c r="J21" i="8"/>
  <c r="J23" i="8"/>
  <c r="J25" i="8"/>
  <c r="J27" i="8"/>
  <c r="D33" i="8"/>
  <c r="F15" i="8"/>
  <c r="D106" i="10"/>
  <c r="D4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D21" i="10"/>
  <c r="AE21" i="10"/>
  <c r="AF21" i="10"/>
  <c r="AG21" i="10"/>
  <c r="AH21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AH32" i="10"/>
  <c r="J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I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AG39" i="10"/>
  <c r="AH39" i="10"/>
  <c r="I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AG40" i="10"/>
  <c r="AH40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E41" i="10"/>
  <c r="AF41" i="10"/>
  <c r="AG41" i="10"/>
  <c r="AH41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AG44" i="10"/>
  <c r="AH44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AG46" i="10"/>
  <c r="AH46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B51" i="10"/>
  <c r="AC51" i="10"/>
  <c r="AD51" i="10"/>
  <c r="AE51" i="10"/>
  <c r="AF51" i="10"/>
  <c r="AG51" i="10"/>
  <c r="AH51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AG54" i="10"/>
  <c r="AH54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AG56" i="10"/>
  <c r="AH56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AG59" i="10"/>
  <c r="AH59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I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I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I77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I79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I82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I84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AA96" i="10"/>
  <c r="AB96" i="10"/>
  <c r="AC96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J102" i="10"/>
  <c r="J104" i="10"/>
  <c r="H109" i="10"/>
  <c r="H110" i="10"/>
  <c r="D106" i="7"/>
  <c r="D4" i="7"/>
  <c r="T7" i="7"/>
  <c r="C32" i="3"/>
  <c r="K19" i="8"/>
  <c r="K21" i="8"/>
  <c r="K23" i="8"/>
  <c r="K25" i="8"/>
  <c r="K27" i="8"/>
  <c r="E14" i="1"/>
  <c r="E22" i="1"/>
  <c r="E27" i="1"/>
  <c r="E29" i="1"/>
  <c r="E34" i="1"/>
  <c r="K18" i="7"/>
  <c r="K23" i="7"/>
  <c r="K28" i="7"/>
  <c r="K34" i="7"/>
  <c r="K40" i="7"/>
  <c r="K46" i="7"/>
  <c r="K51" i="7"/>
  <c r="K56" i="7"/>
  <c r="K61" i="7"/>
  <c r="K66" i="7"/>
  <c r="K71" i="7"/>
  <c r="K9" i="7"/>
  <c r="L18" i="7"/>
  <c r="L23" i="7"/>
  <c r="L28" i="7"/>
  <c r="L34" i="7"/>
  <c r="L40" i="7"/>
  <c r="L46" i="7"/>
  <c r="L51" i="7"/>
  <c r="L56" i="7"/>
  <c r="L61" i="7"/>
  <c r="L66" i="7"/>
  <c r="L71" i="7"/>
  <c r="L9" i="7"/>
  <c r="M18" i="7"/>
  <c r="M23" i="7"/>
  <c r="M28" i="7"/>
  <c r="M34" i="7"/>
  <c r="M40" i="7"/>
  <c r="M46" i="7"/>
  <c r="M51" i="7"/>
  <c r="M56" i="7"/>
  <c r="M61" i="7"/>
  <c r="M66" i="7"/>
  <c r="M71" i="7"/>
  <c r="M9" i="7"/>
  <c r="N18" i="7"/>
  <c r="N23" i="7"/>
  <c r="N28" i="7"/>
  <c r="N34" i="7"/>
  <c r="N40" i="7"/>
  <c r="N46" i="7"/>
  <c r="N51" i="7"/>
  <c r="N56" i="7"/>
  <c r="N61" i="7"/>
  <c r="N66" i="7"/>
  <c r="N71" i="7"/>
  <c r="N9" i="7"/>
  <c r="O18" i="7"/>
  <c r="O23" i="7"/>
  <c r="O28" i="7"/>
  <c r="O34" i="7"/>
  <c r="O40" i="7"/>
  <c r="O46" i="7"/>
  <c r="O51" i="7"/>
  <c r="O56" i="7"/>
  <c r="O61" i="7"/>
  <c r="O66" i="7"/>
  <c r="O71" i="7"/>
  <c r="O9" i="7"/>
  <c r="P18" i="7"/>
  <c r="P23" i="7"/>
  <c r="P28" i="7"/>
  <c r="P34" i="7"/>
  <c r="P40" i="7"/>
  <c r="P46" i="7"/>
  <c r="P51" i="7"/>
  <c r="P56" i="7"/>
  <c r="P61" i="7"/>
  <c r="P66" i="7"/>
  <c r="P71" i="7"/>
  <c r="P9" i="7"/>
  <c r="Q18" i="7"/>
  <c r="Q23" i="7"/>
  <c r="Q28" i="7"/>
  <c r="Q34" i="7"/>
  <c r="Q40" i="7"/>
  <c r="Q46" i="7"/>
  <c r="Q51" i="7"/>
  <c r="Q56" i="7"/>
  <c r="Q61" i="7"/>
  <c r="Q66" i="7"/>
  <c r="Q71" i="7"/>
  <c r="Q9" i="7"/>
  <c r="R18" i="7"/>
  <c r="R23" i="7"/>
  <c r="R28" i="7"/>
  <c r="R34" i="7"/>
  <c r="R40" i="7"/>
  <c r="R46" i="7"/>
  <c r="R51" i="7"/>
  <c r="R56" i="7"/>
  <c r="R61" i="7"/>
  <c r="R66" i="7"/>
  <c r="R71" i="7"/>
  <c r="R9" i="7"/>
  <c r="S18" i="7"/>
  <c r="S23" i="7"/>
  <c r="S28" i="7"/>
  <c r="S34" i="7"/>
  <c r="S40" i="7"/>
  <c r="S46" i="7"/>
  <c r="S51" i="7"/>
  <c r="S56" i="7"/>
  <c r="S61" i="7"/>
  <c r="S66" i="7"/>
  <c r="S71" i="7"/>
  <c r="S9" i="7"/>
  <c r="T18" i="7"/>
  <c r="T23" i="7"/>
  <c r="T28" i="7"/>
  <c r="T34" i="7"/>
  <c r="T40" i="7"/>
  <c r="T46" i="7"/>
  <c r="T51" i="7"/>
  <c r="T56" i="7"/>
  <c r="T61" i="7"/>
  <c r="T66" i="7"/>
  <c r="T71" i="7"/>
  <c r="T9" i="7"/>
  <c r="U18" i="7"/>
  <c r="U23" i="7"/>
  <c r="U28" i="7"/>
  <c r="U34" i="7"/>
  <c r="U40" i="7"/>
  <c r="U46" i="7"/>
  <c r="U51" i="7"/>
  <c r="U56" i="7"/>
  <c r="U61" i="7"/>
  <c r="U66" i="7"/>
  <c r="U71" i="7"/>
  <c r="U9" i="7"/>
  <c r="V18" i="7"/>
  <c r="V23" i="7"/>
  <c r="V28" i="7"/>
  <c r="V34" i="7"/>
  <c r="V40" i="7"/>
  <c r="V46" i="7"/>
  <c r="V51" i="7"/>
  <c r="V56" i="7"/>
  <c r="V61" i="7"/>
  <c r="V66" i="7"/>
  <c r="V71" i="7"/>
  <c r="V9" i="7"/>
  <c r="W18" i="7"/>
  <c r="W23" i="7"/>
  <c r="W28" i="7"/>
  <c r="W34" i="7"/>
  <c r="W40" i="7"/>
  <c r="W46" i="7"/>
  <c r="W51" i="7"/>
  <c r="W56" i="7"/>
  <c r="W61" i="7"/>
  <c r="W66" i="7"/>
  <c r="W71" i="7"/>
  <c r="W9" i="7"/>
  <c r="X18" i="7"/>
  <c r="X23" i="7"/>
  <c r="X28" i="7"/>
  <c r="X34" i="7"/>
  <c r="X40" i="7"/>
  <c r="X46" i="7"/>
  <c r="X51" i="7"/>
  <c r="X56" i="7"/>
  <c r="X61" i="7"/>
  <c r="X66" i="7"/>
  <c r="X71" i="7"/>
  <c r="X9" i="7"/>
  <c r="Y18" i="7"/>
  <c r="Y23" i="7"/>
  <c r="Y28" i="7"/>
  <c r="Y34" i="7"/>
  <c r="Y40" i="7"/>
  <c r="Y46" i="7"/>
  <c r="Y51" i="7"/>
  <c r="Y56" i="7"/>
  <c r="Y61" i="7"/>
  <c r="Y66" i="7"/>
  <c r="Y71" i="7"/>
  <c r="Y9" i="7"/>
  <c r="Z18" i="7"/>
  <c r="Z23" i="7"/>
  <c r="Z28" i="7"/>
  <c r="Z34" i="7"/>
  <c r="Z40" i="7"/>
  <c r="Z46" i="7"/>
  <c r="Z51" i="7"/>
  <c r="Z56" i="7"/>
  <c r="Z61" i="7"/>
  <c r="Z66" i="7"/>
  <c r="Z71" i="7"/>
  <c r="Z9" i="7"/>
  <c r="AA18" i="7"/>
  <c r="AA23" i="7"/>
  <c r="AA28" i="7"/>
  <c r="AA34" i="7"/>
  <c r="AA40" i="7"/>
  <c r="AA46" i="7"/>
  <c r="AA51" i="7"/>
  <c r="AA56" i="7"/>
  <c r="AA61" i="7"/>
  <c r="AA66" i="7"/>
  <c r="AA71" i="7"/>
  <c r="AA9" i="7"/>
  <c r="AB18" i="7"/>
  <c r="AB23" i="7"/>
  <c r="AB28" i="7"/>
  <c r="AB34" i="7"/>
  <c r="AB40" i="7"/>
  <c r="AB46" i="7"/>
  <c r="AB51" i="7"/>
  <c r="AB56" i="7"/>
  <c r="AB61" i="7"/>
  <c r="AB66" i="7"/>
  <c r="AB71" i="7"/>
  <c r="AB9" i="7"/>
  <c r="AC18" i="7"/>
  <c r="AC23" i="7"/>
  <c r="AC28" i="7"/>
  <c r="AC34" i="7"/>
  <c r="AC40" i="7"/>
  <c r="AC46" i="7"/>
  <c r="AC51" i="7"/>
  <c r="AC56" i="7"/>
  <c r="AC61" i="7"/>
  <c r="AC66" i="7"/>
  <c r="AC71" i="7"/>
  <c r="AC9" i="7"/>
  <c r="AD18" i="7"/>
  <c r="AD23" i="7"/>
  <c r="AD28" i="7"/>
  <c r="AD34" i="7"/>
  <c r="AD40" i="7"/>
  <c r="AD46" i="7"/>
  <c r="AD51" i="7"/>
  <c r="AD56" i="7"/>
  <c r="AD61" i="7"/>
  <c r="AD66" i="7"/>
  <c r="AD71" i="7"/>
  <c r="AD9" i="7"/>
  <c r="AE18" i="7"/>
  <c r="AE23" i="7"/>
  <c r="AE28" i="7"/>
  <c r="AE34" i="7"/>
  <c r="AE40" i="7"/>
  <c r="AE46" i="7"/>
  <c r="AE51" i="7"/>
  <c r="AE56" i="7"/>
  <c r="AE61" i="7"/>
  <c r="AE66" i="7"/>
  <c r="AE71" i="7"/>
  <c r="AE9" i="7"/>
  <c r="AF18" i="7"/>
  <c r="AF23" i="7"/>
  <c r="AF28" i="7"/>
  <c r="AF34" i="7"/>
  <c r="AF40" i="7"/>
  <c r="AF46" i="7"/>
  <c r="AF51" i="7"/>
  <c r="AF56" i="7"/>
  <c r="AF61" i="7"/>
  <c r="AF66" i="7"/>
  <c r="AF71" i="7"/>
  <c r="AF9" i="7"/>
  <c r="AG18" i="7"/>
  <c r="AG23" i="7"/>
  <c r="AG28" i="7"/>
  <c r="AG34" i="7"/>
  <c r="AG40" i="7"/>
  <c r="AG46" i="7"/>
  <c r="AG51" i="7"/>
  <c r="AG56" i="7"/>
  <c r="AG61" i="7"/>
  <c r="AG66" i="7"/>
  <c r="AG71" i="7"/>
  <c r="AG9" i="7"/>
  <c r="AH18" i="7"/>
  <c r="AH23" i="7"/>
  <c r="AH28" i="7"/>
  <c r="AH34" i="7"/>
  <c r="AH40" i="7"/>
  <c r="AH46" i="7"/>
  <c r="AH51" i="7"/>
  <c r="AH56" i="7"/>
  <c r="AH61" i="7"/>
  <c r="AH66" i="7"/>
  <c r="AH71" i="7"/>
  <c r="AH9" i="7"/>
  <c r="J16" i="7"/>
  <c r="J21" i="7"/>
  <c r="J26" i="7"/>
  <c r="J32" i="7"/>
  <c r="J38" i="7"/>
  <c r="J44" i="7"/>
  <c r="J49" i="7"/>
  <c r="J54" i="7"/>
  <c r="J59" i="7"/>
  <c r="J64" i="7"/>
  <c r="J69" i="7"/>
  <c r="K16" i="7"/>
  <c r="K21" i="7"/>
  <c r="K26" i="7"/>
  <c r="K32" i="7"/>
  <c r="K38" i="7"/>
  <c r="K44" i="7"/>
  <c r="K49" i="7"/>
  <c r="K54" i="7"/>
  <c r="K59" i="7"/>
  <c r="K64" i="7"/>
  <c r="K69" i="7"/>
  <c r="L16" i="7"/>
  <c r="L21" i="7"/>
  <c r="L26" i="7"/>
  <c r="L32" i="7"/>
  <c r="L38" i="7"/>
  <c r="L44" i="7"/>
  <c r="L49" i="7"/>
  <c r="L54" i="7"/>
  <c r="L59" i="7"/>
  <c r="L64" i="7"/>
  <c r="L69" i="7"/>
  <c r="M16" i="7"/>
  <c r="M21" i="7"/>
  <c r="M26" i="7"/>
  <c r="M32" i="7"/>
  <c r="M38" i="7"/>
  <c r="M44" i="7"/>
  <c r="M49" i="7"/>
  <c r="M54" i="7"/>
  <c r="M59" i="7"/>
  <c r="M64" i="7"/>
  <c r="M69" i="7"/>
  <c r="N16" i="7"/>
  <c r="N21" i="7"/>
  <c r="N26" i="7"/>
  <c r="N32" i="7"/>
  <c r="N38" i="7"/>
  <c r="N44" i="7"/>
  <c r="N49" i="7"/>
  <c r="N54" i="7"/>
  <c r="N59" i="7"/>
  <c r="N64" i="7"/>
  <c r="N69" i="7"/>
  <c r="O16" i="7"/>
  <c r="O21" i="7"/>
  <c r="O26" i="7"/>
  <c r="O32" i="7"/>
  <c r="O38" i="7"/>
  <c r="O44" i="7"/>
  <c r="O49" i="7"/>
  <c r="O54" i="7"/>
  <c r="O59" i="7"/>
  <c r="O64" i="7"/>
  <c r="O69" i="7"/>
  <c r="P16" i="7"/>
  <c r="P21" i="7"/>
  <c r="P26" i="7"/>
  <c r="P32" i="7"/>
  <c r="P38" i="7"/>
  <c r="P44" i="7"/>
  <c r="P49" i="7"/>
  <c r="P54" i="7"/>
  <c r="P59" i="7"/>
  <c r="P64" i="7"/>
  <c r="P69" i="7"/>
  <c r="Q16" i="7"/>
  <c r="Q21" i="7"/>
  <c r="Q26" i="7"/>
  <c r="Q32" i="7"/>
  <c r="Q38" i="7"/>
  <c r="Q44" i="7"/>
  <c r="Q49" i="7"/>
  <c r="Q54" i="7"/>
  <c r="Q59" i="7"/>
  <c r="Q64" i="7"/>
  <c r="Q69" i="7"/>
  <c r="R16" i="7"/>
  <c r="R21" i="7"/>
  <c r="R26" i="7"/>
  <c r="R32" i="7"/>
  <c r="R38" i="7"/>
  <c r="R44" i="7"/>
  <c r="R49" i="7"/>
  <c r="R54" i="7"/>
  <c r="R59" i="7"/>
  <c r="R64" i="7"/>
  <c r="R69" i="7"/>
  <c r="S16" i="7"/>
  <c r="S21" i="7"/>
  <c r="S26" i="7"/>
  <c r="S32" i="7"/>
  <c r="S38" i="7"/>
  <c r="S44" i="7"/>
  <c r="S49" i="7"/>
  <c r="S54" i="7"/>
  <c r="S59" i="7"/>
  <c r="S64" i="7"/>
  <c r="S69" i="7"/>
  <c r="T16" i="7"/>
  <c r="T21" i="7"/>
  <c r="T26" i="7"/>
  <c r="T32" i="7"/>
  <c r="T38" i="7"/>
  <c r="T44" i="7"/>
  <c r="T49" i="7"/>
  <c r="T54" i="7"/>
  <c r="T59" i="7"/>
  <c r="T64" i="7"/>
  <c r="T69" i="7"/>
  <c r="U16" i="7"/>
  <c r="U21" i="7"/>
  <c r="U26" i="7"/>
  <c r="U32" i="7"/>
  <c r="U38" i="7"/>
  <c r="U44" i="7"/>
  <c r="U49" i="7"/>
  <c r="U54" i="7"/>
  <c r="U59" i="7"/>
  <c r="U64" i="7"/>
  <c r="U69" i="7"/>
  <c r="V16" i="7"/>
  <c r="V21" i="7"/>
  <c r="V26" i="7"/>
  <c r="V32" i="7"/>
  <c r="V38" i="7"/>
  <c r="V44" i="7"/>
  <c r="V49" i="7"/>
  <c r="V54" i="7"/>
  <c r="V59" i="7"/>
  <c r="V64" i="7"/>
  <c r="V69" i="7"/>
  <c r="W16" i="7"/>
  <c r="W21" i="7"/>
  <c r="W26" i="7"/>
  <c r="W32" i="7"/>
  <c r="W38" i="7"/>
  <c r="W44" i="7"/>
  <c r="W49" i="7"/>
  <c r="W54" i="7"/>
  <c r="W59" i="7"/>
  <c r="W64" i="7"/>
  <c r="W69" i="7"/>
  <c r="X16" i="7"/>
  <c r="X21" i="7"/>
  <c r="X26" i="7"/>
  <c r="X32" i="7"/>
  <c r="X38" i="7"/>
  <c r="X44" i="7"/>
  <c r="X49" i="7"/>
  <c r="X54" i="7"/>
  <c r="X59" i="7"/>
  <c r="X64" i="7"/>
  <c r="X69" i="7"/>
  <c r="Y16" i="7"/>
  <c r="Y21" i="7"/>
  <c r="Y26" i="7"/>
  <c r="Y32" i="7"/>
  <c r="Y38" i="7"/>
  <c r="Y44" i="7"/>
  <c r="Y49" i="7"/>
  <c r="Y54" i="7"/>
  <c r="Y59" i="7"/>
  <c r="Y64" i="7"/>
  <c r="Y69" i="7"/>
  <c r="Z16" i="7"/>
  <c r="Z21" i="7"/>
  <c r="Z26" i="7"/>
  <c r="Z32" i="7"/>
  <c r="Z38" i="7"/>
  <c r="Z44" i="7"/>
  <c r="Z49" i="7"/>
  <c r="Z54" i="7"/>
  <c r="Z59" i="7"/>
  <c r="Z64" i="7"/>
  <c r="Z69" i="7"/>
  <c r="AA16" i="7"/>
  <c r="AA21" i="7"/>
  <c r="AA26" i="7"/>
  <c r="AA32" i="7"/>
  <c r="AA38" i="7"/>
  <c r="AA44" i="7"/>
  <c r="AA49" i="7"/>
  <c r="AA54" i="7"/>
  <c r="AA59" i="7"/>
  <c r="AA64" i="7"/>
  <c r="AA69" i="7"/>
  <c r="AB16" i="7"/>
  <c r="AB21" i="7"/>
  <c r="AB26" i="7"/>
  <c r="AB32" i="7"/>
  <c r="AB38" i="7"/>
  <c r="AB44" i="7"/>
  <c r="AB49" i="7"/>
  <c r="AB54" i="7"/>
  <c r="AB59" i="7"/>
  <c r="AB64" i="7"/>
  <c r="AB69" i="7"/>
  <c r="AC16" i="7"/>
  <c r="AC21" i="7"/>
  <c r="AC26" i="7"/>
  <c r="AC32" i="7"/>
  <c r="AC38" i="7"/>
  <c r="AC44" i="7"/>
  <c r="AC49" i="7"/>
  <c r="AC54" i="7"/>
  <c r="AC59" i="7"/>
  <c r="AC64" i="7"/>
  <c r="AC69" i="7"/>
  <c r="AD16" i="7"/>
  <c r="AD21" i="7"/>
  <c r="AD26" i="7"/>
  <c r="AD32" i="7"/>
  <c r="AD38" i="7"/>
  <c r="AD44" i="7"/>
  <c r="AD49" i="7"/>
  <c r="AD54" i="7"/>
  <c r="AD59" i="7"/>
  <c r="AD64" i="7"/>
  <c r="AD69" i="7"/>
  <c r="AE16" i="7"/>
  <c r="AE21" i="7"/>
  <c r="AE26" i="7"/>
  <c r="AE32" i="7"/>
  <c r="AE38" i="7"/>
  <c r="AE44" i="7"/>
  <c r="AE49" i="7"/>
  <c r="AE54" i="7"/>
  <c r="AE59" i="7"/>
  <c r="AE64" i="7"/>
  <c r="AE69" i="7"/>
  <c r="AF16" i="7"/>
  <c r="AF21" i="7"/>
  <c r="AF26" i="7"/>
  <c r="AF32" i="7"/>
  <c r="AF38" i="7"/>
  <c r="AF44" i="7"/>
  <c r="AF49" i="7"/>
  <c r="AF54" i="7"/>
  <c r="AF59" i="7"/>
  <c r="AF64" i="7"/>
  <c r="AF69" i="7"/>
  <c r="AG16" i="7"/>
  <c r="AG21" i="7"/>
  <c r="AG26" i="7"/>
  <c r="AG32" i="7"/>
  <c r="AG38" i="7"/>
  <c r="AG44" i="7"/>
  <c r="AG49" i="7"/>
  <c r="AG54" i="7"/>
  <c r="AG59" i="7"/>
  <c r="AG64" i="7"/>
  <c r="AG69" i="7"/>
  <c r="AH16" i="7"/>
  <c r="AH21" i="7"/>
  <c r="AH26" i="7"/>
  <c r="AH32" i="7"/>
  <c r="AH38" i="7"/>
  <c r="AH44" i="7"/>
  <c r="AH49" i="7"/>
  <c r="AH54" i="7"/>
  <c r="AH59" i="7"/>
  <c r="AH64" i="7"/>
  <c r="AH69" i="7"/>
  <c r="K5" i="8"/>
  <c r="J5" i="8"/>
  <c r="C12" i="3"/>
  <c r="C21" i="3"/>
  <c r="J9" i="8"/>
  <c r="K9" i="8"/>
  <c r="I71" i="7"/>
  <c r="I79" i="7"/>
  <c r="I70" i="7"/>
  <c r="I78" i="7"/>
  <c r="I69" i="7"/>
  <c r="I7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Y67" i="7"/>
  <c r="Z67" i="7"/>
  <c r="AA67" i="7"/>
  <c r="AB67" i="7"/>
  <c r="AC67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Y65" i="7"/>
  <c r="Z65" i="7"/>
  <c r="AA65" i="7"/>
  <c r="AB65" i="7"/>
  <c r="AC65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W62" i="7"/>
  <c r="X62" i="7"/>
  <c r="Y62" i="7"/>
  <c r="Z62" i="7"/>
  <c r="AA62" i="7"/>
  <c r="AB62" i="7"/>
  <c r="AC62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Y60" i="7"/>
  <c r="Z60" i="7"/>
  <c r="AA60" i="7"/>
  <c r="AB60" i="7"/>
  <c r="AC60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AB55" i="7"/>
  <c r="AC55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AB52" i="7"/>
  <c r="AC52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AB50" i="7"/>
  <c r="AC50" i="7"/>
  <c r="I47" i="7"/>
  <c r="J45" i="7"/>
  <c r="K45" i="7"/>
  <c r="AG39" i="7"/>
  <c r="AG41" i="7"/>
  <c r="AE39" i="7"/>
  <c r="AE41" i="7"/>
  <c r="I40" i="7"/>
  <c r="AH39" i="7"/>
  <c r="AH41" i="7"/>
  <c r="AF39" i="7"/>
  <c r="AF41" i="7"/>
  <c r="AD39" i="7"/>
  <c r="I39" i="7"/>
  <c r="I83" i="7"/>
  <c r="I38" i="7"/>
  <c r="I82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AB33" i="7"/>
  <c r="AC33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J17" i="7"/>
  <c r="J39" i="7"/>
  <c r="I19" i="7"/>
  <c r="I41" i="7"/>
  <c r="K17" i="7"/>
  <c r="AH8" i="7"/>
  <c r="AH10" i="7"/>
  <c r="AG8" i="7"/>
  <c r="AG10" i="7"/>
  <c r="AF8" i="7"/>
  <c r="AF10" i="7"/>
  <c r="AE8" i="7"/>
  <c r="AE10" i="7"/>
  <c r="AD8" i="7"/>
  <c r="AD10" i="7"/>
  <c r="AC8" i="7"/>
  <c r="AC10" i="7"/>
  <c r="AB8" i="7"/>
  <c r="AB10" i="7"/>
  <c r="AA8" i="7"/>
  <c r="AA10" i="7"/>
  <c r="Z8" i="7"/>
  <c r="Z10" i="7"/>
  <c r="Y8" i="7"/>
  <c r="Y10" i="7"/>
  <c r="X8" i="7"/>
  <c r="X10" i="7"/>
  <c r="W8" i="7"/>
  <c r="W10" i="7"/>
  <c r="V8" i="7"/>
  <c r="V10" i="7"/>
  <c r="U8" i="7"/>
  <c r="U10" i="7"/>
  <c r="T8" i="7"/>
  <c r="T10" i="7"/>
  <c r="S8" i="7"/>
  <c r="S10" i="7"/>
  <c r="R8" i="7"/>
  <c r="R10" i="7"/>
  <c r="Q8" i="7"/>
  <c r="Q10" i="7"/>
  <c r="P8" i="7"/>
  <c r="P10" i="7"/>
  <c r="O8" i="7"/>
  <c r="O10" i="7"/>
  <c r="N8" i="7"/>
  <c r="N10" i="7"/>
  <c r="M8" i="7"/>
  <c r="M10" i="7"/>
  <c r="L8" i="7"/>
  <c r="L10" i="7"/>
  <c r="K8" i="7"/>
  <c r="K10" i="7"/>
  <c r="J8" i="7"/>
  <c r="J10" i="7"/>
  <c r="K39" i="7"/>
  <c r="K11" i="8"/>
  <c r="J11" i="8"/>
  <c r="K41" i="7"/>
  <c r="I72" i="7"/>
  <c r="I80" i="7"/>
  <c r="I85" i="7"/>
  <c r="J47" i="7"/>
  <c r="K70" i="7"/>
  <c r="K78" i="7"/>
  <c r="L45" i="7"/>
  <c r="L17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I84" i="7"/>
  <c r="J41" i="7"/>
  <c r="J70" i="7"/>
  <c r="J78" i="7"/>
  <c r="J83" i="7"/>
  <c r="J88" i="7"/>
  <c r="J96" i="7"/>
  <c r="K83" i="7"/>
  <c r="K88" i="7"/>
  <c r="K96" i="7"/>
  <c r="L39" i="7"/>
  <c r="M17" i="7"/>
  <c r="L70" i="7"/>
  <c r="L78" i="7"/>
  <c r="M45" i="7"/>
  <c r="J72" i="7"/>
  <c r="J80" i="7"/>
  <c r="K47" i="7"/>
  <c r="J85" i="7"/>
  <c r="J90" i="7"/>
  <c r="J98" i="7"/>
  <c r="L47" i="7"/>
  <c r="K72" i="7"/>
  <c r="K80" i="7"/>
  <c r="K85" i="7"/>
  <c r="K90" i="7"/>
  <c r="K98" i="7"/>
  <c r="M70" i="7"/>
  <c r="M78" i="7"/>
  <c r="N45" i="7"/>
  <c r="M39" i="7"/>
  <c r="N17" i="7"/>
  <c r="L83" i="7"/>
  <c r="L88" i="7"/>
  <c r="L96" i="7"/>
  <c r="L41" i="7"/>
  <c r="M83" i="7"/>
  <c r="M88" i="7"/>
  <c r="M96" i="7"/>
  <c r="M41" i="7"/>
  <c r="L72" i="7"/>
  <c r="L80" i="7"/>
  <c r="M47" i="7"/>
  <c r="N39" i="7"/>
  <c r="O17" i="7"/>
  <c r="O45" i="7"/>
  <c r="N70" i="7"/>
  <c r="N78" i="7"/>
  <c r="L85" i="7"/>
  <c r="L90" i="7"/>
  <c r="L98" i="7"/>
  <c r="O70" i="7"/>
  <c r="O78" i="7"/>
  <c r="P45" i="7"/>
  <c r="N83" i="7"/>
  <c r="N88" i="7"/>
  <c r="N96" i="7"/>
  <c r="N41" i="7"/>
  <c r="O39" i="7"/>
  <c r="P17" i="7"/>
  <c r="M72" i="7"/>
  <c r="M80" i="7"/>
  <c r="N47" i="7"/>
  <c r="M85" i="7"/>
  <c r="M90" i="7"/>
  <c r="M98" i="7"/>
  <c r="N72" i="7"/>
  <c r="N80" i="7"/>
  <c r="O47" i="7"/>
  <c r="P39" i="7"/>
  <c r="Q17" i="7"/>
  <c r="P70" i="7"/>
  <c r="P78" i="7"/>
  <c r="Q45" i="7"/>
  <c r="O83" i="7"/>
  <c r="O88" i="7"/>
  <c r="O96" i="7"/>
  <c r="O41" i="7"/>
  <c r="N85" i="7"/>
  <c r="N90" i="7"/>
  <c r="N98" i="7"/>
  <c r="P83" i="7"/>
  <c r="P88" i="7"/>
  <c r="P96" i="7"/>
  <c r="P41" i="7"/>
  <c r="Q70" i="7"/>
  <c r="Q78" i="7"/>
  <c r="R45" i="7"/>
  <c r="Q39" i="7"/>
  <c r="R17" i="7"/>
  <c r="P47" i="7"/>
  <c r="O72" i="7"/>
  <c r="O80" i="7"/>
  <c r="O85" i="7"/>
  <c r="O90" i="7"/>
  <c r="O98" i="7"/>
  <c r="R39" i="7"/>
  <c r="S17" i="7"/>
  <c r="R70" i="7"/>
  <c r="R78" i="7"/>
  <c r="S45" i="7"/>
  <c r="P72" i="7"/>
  <c r="P80" i="7"/>
  <c r="Q47" i="7"/>
  <c r="Q83" i="7"/>
  <c r="Q88" i="7"/>
  <c r="Q96" i="7"/>
  <c r="Q41" i="7"/>
  <c r="P85" i="7"/>
  <c r="P90" i="7"/>
  <c r="P98" i="7"/>
  <c r="Q72" i="7"/>
  <c r="Q80" i="7"/>
  <c r="R47" i="7"/>
  <c r="S70" i="7"/>
  <c r="S78" i="7"/>
  <c r="T45" i="7"/>
  <c r="S39" i="7"/>
  <c r="T17" i="7"/>
  <c r="R83" i="7"/>
  <c r="R88" i="7"/>
  <c r="R96" i="7"/>
  <c r="R41" i="7"/>
  <c r="Q85" i="7"/>
  <c r="Q90" i="7"/>
  <c r="Q98" i="7"/>
  <c r="T39" i="7"/>
  <c r="U17" i="7"/>
  <c r="T70" i="7"/>
  <c r="T78" i="7"/>
  <c r="U45" i="7"/>
  <c r="R72" i="7"/>
  <c r="R80" i="7"/>
  <c r="S47" i="7"/>
  <c r="S83" i="7"/>
  <c r="S88" i="7"/>
  <c r="S96" i="7"/>
  <c r="S41" i="7"/>
  <c r="R85" i="7"/>
  <c r="R90" i="7"/>
  <c r="R98" i="7"/>
  <c r="T47" i="7"/>
  <c r="S72" i="7"/>
  <c r="S80" i="7"/>
  <c r="S85" i="7"/>
  <c r="S90" i="7"/>
  <c r="S98" i="7"/>
  <c r="U70" i="7"/>
  <c r="U78" i="7"/>
  <c r="V45" i="7"/>
  <c r="U39" i="7"/>
  <c r="V17" i="7"/>
  <c r="T83" i="7"/>
  <c r="T88" i="7"/>
  <c r="T96" i="7"/>
  <c r="T41" i="7"/>
  <c r="V39" i="7"/>
  <c r="W17" i="7"/>
  <c r="W45" i="7"/>
  <c r="V70" i="7"/>
  <c r="V78" i="7"/>
  <c r="U83" i="7"/>
  <c r="U88" i="7"/>
  <c r="U96" i="7"/>
  <c r="U41" i="7"/>
  <c r="T72" i="7"/>
  <c r="T80" i="7"/>
  <c r="U47" i="7"/>
  <c r="T85" i="7"/>
  <c r="T90" i="7"/>
  <c r="T98" i="7"/>
  <c r="U72" i="7"/>
  <c r="U80" i="7"/>
  <c r="V47" i="7"/>
  <c r="W39" i="7"/>
  <c r="X17" i="7"/>
  <c r="W70" i="7"/>
  <c r="W78" i="7"/>
  <c r="X45" i="7"/>
  <c r="V83" i="7"/>
  <c r="V88" i="7"/>
  <c r="V96" i="7"/>
  <c r="V41" i="7"/>
  <c r="U85" i="7"/>
  <c r="U90" i="7"/>
  <c r="U98" i="7"/>
  <c r="X70" i="7"/>
  <c r="X78" i="7"/>
  <c r="Y45" i="7"/>
  <c r="X39" i="7"/>
  <c r="Y17" i="7"/>
  <c r="V72" i="7"/>
  <c r="V80" i="7"/>
  <c r="W47" i="7"/>
  <c r="W83" i="7"/>
  <c r="W88" i="7"/>
  <c r="W96" i="7"/>
  <c r="W41" i="7"/>
  <c r="V85" i="7"/>
  <c r="V90" i="7"/>
  <c r="V98" i="7"/>
  <c r="X47" i="7"/>
  <c r="W72" i="7"/>
  <c r="W80" i="7"/>
  <c r="W85" i="7"/>
  <c r="W90" i="7"/>
  <c r="W98" i="7"/>
  <c r="Y39" i="7"/>
  <c r="Z17" i="7"/>
  <c r="Y70" i="7"/>
  <c r="Y78" i="7"/>
  <c r="Z45" i="7"/>
  <c r="X83" i="7"/>
  <c r="X88" i="7"/>
  <c r="X96" i="7"/>
  <c r="X41" i="7"/>
  <c r="Z70" i="7"/>
  <c r="Z78" i="7"/>
  <c r="AA45" i="7"/>
  <c r="Z39" i="7"/>
  <c r="AA17" i="7"/>
  <c r="Y83" i="7"/>
  <c r="Y88" i="7"/>
  <c r="Y96" i="7"/>
  <c r="Y41" i="7"/>
  <c r="X72" i="7"/>
  <c r="X80" i="7"/>
  <c r="Y47" i="7"/>
  <c r="X85" i="7"/>
  <c r="X90" i="7"/>
  <c r="X98" i="7"/>
  <c r="Y72" i="7"/>
  <c r="Y80" i="7"/>
  <c r="Z47" i="7"/>
  <c r="AA70" i="7"/>
  <c r="AA78" i="7"/>
  <c r="AB45" i="7"/>
  <c r="Z83" i="7"/>
  <c r="Z88" i="7"/>
  <c r="Z96" i="7"/>
  <c r="Z41" i="7"/>
  <c r="Y85" i="7"/>
  <c r="Y90" i="7"/>
  <c r="Y98" i="7"/>
  <c r="AA39" i="7"/>
  <c r="AB17" i="7"/>
  <c r="AB39" i="7"/>
  <c r="AC17" i="7"/>
  <c r="AC39" i="7"/>
  <c r="AB70" i="7"/>
  <c r="AB78" i="7"/>
  <c r="AC45" i="7"/>
  <c r="AC70" i="7"/>
  <c r="AC78" i="7"/>
  <c r="Z72" i="7"/>
  <c r="Z80" i="7"/>
  <c r="AA47" i="7"/>
  <c r="AA83" i="7"/>
  <c r="AA88" i="7"/>
  <c r="AA96" i="7"/>
  <c r="AA41" i="7"/>
  <c r="Z85" i="7"/>
  <c r="Z90" i="7"/>
  <c r="Z98" i="7"/>
  <c r="AB47" i="7"/>
  <c r="AA72" i="7"/>
  <c r="AA80" i="7"/>
  <c r="AA85" i="7"/>
  <c r="AA90" i="7"/>
  <c r="AA98" i="7"/>
  <c r="AC83" i="7"/>
  <c r="AC88" i="7"/>
  <c r="AC96" i="7"/>
  <c r="AC41" i="7"/>
  <c r="AB83" i="7"/>
  <c r="AB88" i="7"/>
  <c r="AB96" i="7"/>
  <c r="AB41" i="7"/>
  <c r="AB72" i="7"/>
  <c r="AB80" i="7"/>
  <c r="AC47" i="7"/>
  <c r="AC72" i="7"/>
  <c r="AC80" i="7"/>
  <c r="AB85" i="7"/>
  <c r="AB90" i="7"/>
  <c r="AB98" i="7"/>
  <c r="AC85" i="7"/>
  <c r="AC90" i="7"/>
  <c r="AC98" i="7"/>
  <c r="J102" i="7"/>
  <c r="H109" i="7"/>
  <c r="J104" i="7"/>
  <c r="H110" i="7"/>
  <c r="D5" i="1"/>
  <c r="E21" i="3"/>
  <c r="D21" i="3"/>
  <c r="D19" i="3"/>
  <c r="D18" i="3"/>
  <c r="D17" i="3"/>
  <c r="D16" i="3"/>
  <c r="D15" i="3"/>
  <c r="D10" i="3"/>
  <c r="D9" i="3"/>
  <c r="D8" i="3"/>
  <c r="D20" i="1"/>
  <c r="D19" i="1"/>
  <c r="D18" i="1"/>
  <c r="D17" i="1"/>
  <c r="D12" i="1"/>
  <c r="D11" i="1"/>
  <c r="D10" i="1"/>
  <c r="D9" i="1"/>
  <c r="E12" i="3"/>
  <c r="E28" i="3"/>
  <c r="E34" i="3"/>
  <c r="D12" i="3"/>
  <c r="D28" i="3"/>
  <c r="D34" i="3"/>
  <c r="D14" i="1"/>
  <c r="D22" i="1"/>
  <c r="D27" i="1"/>
  <c r="D29" i="1"/>
  <c r="D34" i="1"/>
  <c r="K77" i="10"/>
  <c r="K82" i="10"/>
  <c r="K87" i="10"/>
  <c r="K95" i="10"/>
  <c r="K79" i="10"/>
  <c r="K84" i="10"/>
  <c r="L74" i="10"/>
  <c r="C23" i="3"/>
  <c r="C28" i="3"/>
  <c r="C34" i="3"/>
  <c r="H7" i="8"/>
  <c r="H23" i="8"/>
  <c r="K89" i="10"/>
  <c r="K97" i="10"/>
  <c r="AH7" i="7"/>
  <c r="P7" i="7"/>
  <c r="L7" i="7"/>
  <c r="AB7" i="7"/>
  <c r="Z7" i="7"/>
  <c r="V7" i="7"/>
  <c r="J77" i="7"/>
  <c r="J82" i="7"/>
  <c r="J7" i="7"/>
  <c r="J87" i="7"/>
  <c r="J95" i="7"/>
  <c r="AD7" i="7"/>
  <c r="X7" i="7"/>
  <c r="R7" i="7"/>
  <c r="N7" i="7"/>
  <c r="AG7" i="7"/>
  <c r="AE7" i="7"/>
  <c r="AC7" i="7"/>
  <c r="AA7" i="7"/>
  <c r="Y7" i="7"/>
  <c r="W7" i="7"/>
  <c r="U7" i="7"/>
  <c r="S7" i="7"/>
  <c r="Q7" i="7"/>
  <c r="O7" i="7"/>
  <c r="M7" i="7"/>
  <c r="K7" i="7"/>
  <c r="J7" i="10"/>
  <c r="J87" i="10"/>
  <c r="J95" i="10"/>
  <c r="D35" i="8"/>
  <c r="AF7" i="7"/>
  <c r="K74" i="7"/>
  <c r="I23" i="8"/>
  <c r="H19" i="8"/>
  <c r="I19" i="8"/>
  <c r="L77" i="10"/>
  <c r="L82" i="10"/>
  <c r="L87" i="10"/>
  <c r="L95" i="10"/>
  <c r="M74" i="10"/>
  <c r="L79" i="10"/>
  <c r="L84" i="10"/>
  <c r="L89" i="10"/>
  <c r="L97" i="10"/>
  <c r="K77" i="7"/>
  <c r="K82" i="7"/>
  <c r="K87" i="7"/>
  <c r="K95" i="7"/>
  <c r="L74" i="7"/>
  <c r="K79" i="7"/>
  <c r="K84" i="7"/>
  <c r="K89" i="7"/>
  <c r="K97" i="7"/>
  <c r="M79" i="10"/>
  <c r="M84" i="10"/>
  <c r="M89" i="10"/>
  <c r="M97" i="10"/>
  <c r="N74" i="10"/>
  <c r="M77" i="10"/>
  <c r="M82" i="10"/>
  <c r="M87" i="10"/>
  <c r="M95" i="10"/>
  <c r="L79" i="7"/>
  <c r="L84" i="7"/>
  <c r="L89" i="7"/>
  <c r="L97" i="7"/>
  <c r="L77" i="7"/>
  <c r="L82" i="7"/>
  <c r="L87" i="7"/>
  <c r="L95" i="7"/>
  <c r="M74" i="7"/>
  <c r="M77" i="7"/>
  <c r="M82" i="7"/>
  <c r="M87" i="7"/>
  <c r="M95" i="7"/>
  <c r="N74" i="7"/>
  <c r="M79" i="7"/>
  <c r="M84" i="7"/>
  <c r="M89" i="7"/>
  <c r="M97" i="7"/>
  <c r="O74" i="10"/>
  <c r="N77" i="10"/>
  <c r="N82" i="10"/>
  <c r="N87" i="10"/>
  <c r="N95" i="10"/>
  <c r="N79" i="10"/>
  <c r="N84" i="10"/>
  <c r="N89" i="10"/>
  <c r="N97" i="10"/>
  <c r="O74" i="7"/>
  <c r="N77" i="7"/>
  <c r="N82" i="7"/>
  <c r="N87" i="7"/>
  <c r="N95" i="7"/>
  <c r="N79" i="7"/>
  <c r="N84" i="7"/>
  <c r="N89" i="7"/>
  <c r="N97" i="7"/>
  <c r="P74" i="10"/>
  <c r="O77" i="10"/>
  <c r="O82" i="10"/>
  <c r="O87" i="10"/>
  <c r="O95" i="10"/>
  <c r="O79" i="10"/>
  <c r="O84" i="10"/>
  <c r="O89" i="10"/>
  <c r="O97" i="10"/>
  <c r="O79" i="7"/>
  <c r="O84" i="7"/>
  <c r="O89" i="7"/>
  <c r="O97" i="7"/>
  <c r="P74" i="7"/>
  <c r="O77" i="7"/>
  <c r="O82" i="7"/>
  <c r="O87" i="7"/>
  <c r="O95" i="7"/>
  <c r="P79" i="10"/>
  <c r="P84" i="10"/>
  <c r="P89" i="10"/>
  <c r="P97" i="10"/>
  <c r="P77" i="10"/>
  <c r="P82" i="10"/>
  <c r="P87" i="10"/>
  <c r="P95" i="10"/>
  <c r="Q74" i="10"/>
  <c r="P79" i="7"/>
  <c r="P84" i="7"/>
  <c r="P89" i="7"/>
  <c r="P97" i="7"/>
  <c r="Q74" i="7"/>
  <c r="P77" i="7"/>
  <c r="P82" i="7"/>
  <c r="P87" i="7"/>
  <c r="P95" i="7"/>
  <c r="R74" i="10"/>
  <c r="Q79" i="10"/>
  <c r="Q84" i="10"/>
  <c r="Q89" i="10"/>
  <c r="Q97" i="10"/>
  <c r="Q77" i="10"/>
  <c r="Q82" i="10"/>
  <c r="Q87" i="10"/>
  <c r="Q95" i="10"/>
  <c r="Q79" i="7"/>
  <c r="Q84" i="7"/>
  <c r="Q89" i="7"/>
  <c r="Q97" i="7"/>
  <c r="Q77" i="7"/>
  <c r="Q82" i="7"/>
  <c r="Q87" i="7"/>
  <c r="Q95" i="7"/>
  <c r="R74" i="7"/>
  <c r="S74" i="10"/>
  <c r="R77" i="10"/>
  <c r="R82" i="10"/>
  <c r="R87" i="10"/>
  <c r="R95" i="10"/>
  <c r="R79" i="10"/>
  <c r="R84" i="10"/>
  <c r="R89" i="10"/>
  <c r="R97" i="10"/>
  <c r="R77" i="7"/>
  <c r="R82" i="7"/>
  <c r="R87" i="7"/>
  <c r="R95" i="7"/>
  <c r="S74" i="7"/>
  <c r="R79" i="7"/>
  <c r="R84" i="7"/>
  <c r="R89" i="7"/>
  <c r="R97" i="7"/>
  <c r="S79" i="10"/>
  <c r="S84" i="10"/>
  <c r="S89" i="10"/>
  <c r="S97" i="10"/>
  <c r="S77" i="10"/>
  <c r="S82" i="10"/>
  <c r="S87" i="10"/>
  <c r="S95" i="10"/>
  <c r="T74" i="10"/>
  <c r="T77" i="10"/>
  <c r="T82" i="10"/>
  <c r="T87" i="10"/>
  <c r="T95" i="10"/>
  <c r="T79" i="10"/>
  <c r="T84" i="10"/>
  <c r="T89" i="10"/>
  <c r="T97" i="10"/>
  <c r="U74" i="10"/>
  <c r="T74" i="7"/>
  <c r="S79" i="7"/>
  <c r="S84" i="7"/>
  <c r="S89" i="7"/>
  <c r="S97" i="7"/>
  <c r="S77" i="7"/>
  <c r="S82" i="7"/>
  <c r="S87" i="7"/>
  <c r="S95" i="7"/>
  <c r="U79" i="10"/>
  <c r="U84" i="10"/>
  <c r="U89" i="10"/>
  <c r="U97" i="10"/>
  <c r="U77" i="10"/>
  <c r="U82" i="10"/>
  <c r="U87" i="10"/>
  <c r="U95" i="10"/>
  <c r="V74" i="10"/>
  <c r="T79" i="7"/>
  <c r="T84" i="7"/>
  <c r="T89" i="7"/>
  <c r="T97" i="7"/>
  <c r="T77" i="7"/>
  <c r="T82" i="7"/>
  <c r="T87" i="7"/>
  <c r="T95" i="7"/>
  <c r="U74" i="7"/>
  <c r="W74" i="10"/>
  <c r="V77" i="10"/>
  <c r="V82" i="10"/>
  <c r="V87" i="10"/>
  <c r="V95" i="10"/>
  <c r="V79" i="10"/>
  <c r="V84" i="10"/>
  <c r="V89" i="10"/>
  <c r="V97" i="10"/>
  <c r="U77" i="7"/>
  <c r="U82" i="7"/>
  <c r="U87" i="7"/>
  <c r="U95" i="7"/>
  <c r="V74" i="7"/>
  <c r="U79" i="7"/>
  <c r="U84" i="7"/>
  <c r="U89" i="7"/>
  <c r="U97" i="7"/>
  <c r="W74" i="7"/>
  <c r="V77" i="7"/>
  <c r="V82" i="7"/>
  <c r="V87" i="7"/>
  <c r="V95" i="7"/>
  <c r="V79" i="7"/>
  <c r="V84" i="7"/>
  <c r="V89" i="7"/>
  <c r="V97" i="7"/>
  <c r="X74" i="10"/>
  <c r="W77" i="10"/>
  <c r="W82" i="10"/>
  <c r="W87" i="10"/>
  <c r="W95" i="10"/>
  <c r="W79" i="10"/>
  <c r="W84" i="10"/>
  <c r="W89" i="10"/>
  <c r="W97" i="10"/>
  <c r="X79" i="10"/>
  <c r="X84" i="10"/>
  <c r="X89" i="10"/>
  <c r="X97" i="10"/>
  <c r="X77" i="10"/>
  <c r="X82" i="10"/>
  <c r="X87" i="10"/>
  <c r="X95" i="10"/>
  <c r="Y74" i="10"/>
  <c r="X74" i="7"/>
  <c r="W77" i="7"/>
  <c r="W82" i="7"/>
  <c r="W87" i="7"/>
  <c r="W95" i="7"/>
  <c r="W79" i="7"/>
  <c r="W84" i="7"/>
  <c r="W89" i="7"/>
  <c r="W97" i="7"/>
  <c r="Z74" i="10"/>
  <c r="Y79" i="10"/>
  <c r="Y84" i="10"/>
  <c r="Y89" i="10"/>
  <c r="Y97" i="10"/>
  <c r="Y77" i="10"/>
  <c r="Y82" i="10"/>
  <c r="Y87" i="10"/>
  <c r="Y95" i="10"/>
  <c r="X77" i="7"/>
  <c r="X82" i="7"/>
  <c r="X87" i="7"/>
  <c r="X95" i="7"/>
  <c r="X79" i="7"/>
  <c r="X84" i="7"/>
  <c r="X89" i="7"/>
  <c r="X97" i="7"/>
  <c r="Y74" i="7"/>
  <c r="AA74" i="10"/>
  <c r="Z77" i="10"/>
  <c r="Z82" i="10"/>
  <c r="Z87" i="10"/>
  <c r="Z95" i="10"/>
  <c r="Z79" i="10"/>
  <c r="Z84" i="10"/>
  <c r="Z89" i="10"/>
  <c r="Z97" i="10"/>
  <c r="Y79" i="7"/>
  <c r="Y84" i="7"/>
  <c r="Y89" i="7"/>
  <c r="Y97" i="7"/>
  <c r="Y77" i="7"/>
  <c r="Y82" i="7"/>
  <c r="Y87" i="7"/>
  <c r="Y95" i="7"/>
  <c r="Z74" i="7"/>
  <c r="AA77" i="10"/>
  <c r="AA82" i="10"/>
  <c r="AA87" i="10"/>
  <c r="AA95" i="10"/>
  <c r="AA79" i="10"/>
  <c r="AA84" i="10"/>
  <c r="AA89" i="10"/>
  <c r="AA97" i="10"/>
  <c r="AB74" i="10"/>
  <c r="Z77" i="7"/>
  <c r="Z82" i="7"/>
  <c r="Z87" i="7"/>
  <c r="Z95" i="7"/>
  <c r="AA74" i="7"/>
  <c r="Z79" i="7"/>
  <c r="Z84" i="7"/>
  <c r="Z89" i="7"/>
  <c r="Z97" i="7"/>
  <c r="AB74" i="7"/>
  <c r="AA79" i="7"/>
  <c r="AA84" i="7"/>
  <c r="AA89" i="7"/>
  <c r="AA97" i="7"/>
  <c r="AA77" i="7"/>
  <c r="AA82" i="7"/>
  <c r="AA87" i="7"/>
  <c r="AA95" i="7"/>
  <c r="AB77" i="10"/>
  <c r="AB82" i="10"/>
  <c r="AB87" i="10"/>
  <c r="AB95" i="10"/>
  <c r="AB79" i="10"/>
  <c r="AB84" i="10"/>
  <c r="AB89" i="10"/>
  <c r="AB97" i="10"/>
  <c r="AC74" i="10"/>
  <c r="AB79" i="7"/>
  <c r="AB84" i="7"/>
  <c r="AB89" i="7"/>
  <c r="AB97" i="7"/>
  <c r="AB77" i="7"/>
  <c r="AB82" i="7"/>
  <c r="AB87" i="7"/>
  <c r="AB95" i="7"/>
  <c r="AC74" i="7"/>
  <c r="AC79" i="10"/>
  <c r="AC84" i="10"/>
  <c r="AC89" i="10"/>
  <c r="AC97" i="10"/>
  <c r="AC77" i="10"/>
  <c r="AC82" i="10"/>
  <c r="AC87" i="10"/>
  <c r="AC95" i="10"/>
  <c r="AD74" i="10"/>
  <c r="AC77" i="7"/>
  <c r="AC82" i="7"/>
  <c r="AC87" i="7"/>
  <c r="AC95" i="7"/>
  <c r="AD74" i="7"/>
  <c r="AC79" i="7"/>
  <c r="AC84" i="7"/>
  <c r="AC89" i="7"/>
  <c r="AC97" i="7"/>
  <c r="AE74" i="10"/>
  <c r="AD77" i="10"/>
  <c r="AD82" i="10"/>
  <c r="AD87" i="10"/>
  <c r="AD95" i="10"/>
  <c r="AD79" i="10"/>
  <c r="AD84" i="10"/>
  <c r="AD89" i="10"/>
  <c r="AD97" i="10"/>
  <c r="AF74" i="10"/>
  <c r="AE77" i="10"/>
  <c r="AE82" i="10"/>
  <c r="AE87" i="10"/>
  <c r="AE95" i="10"/>
  <c r="AE79" i="10"/>
  <c r="AE84" i="10"/>
  <c r="AE89" i="10"/>
  <c r="AE97" i="10"/>
  <c r="AE74" i="7"/>
  <c r="AD77" i="7"/>
  <c r="AD82" i="7"/>
  <c r="AD87" i="7"/>
  <c r="AD95" i="7"/>
  <c r="AD79" i="7"/>
  <c r="AD84" i="7"/>
  <c r="AD89" i="7"/>
  <c r="AD97" i="7"/>
  <c r="AF79" i="10"/>
  <c r="AF84" i="10"/>
  <c r="AF89" i="10"/>
  <c r="AF97" i="10"/>
  <c r="AF77" i="10"/>
  <c r="AF82" i="10"/>
  <c r="AF87" i="10"/>
  <c r="AF95" i="10"/>
  <c r="AG74" i="10"/>
  <c r="AF74" i="7"/>
  <c r="AE77" i="7"/>
  <c r="AE82" i="7"/>
  <c r="AE87" i="7"/>
  <c r="AE95" i="7"/>
  <c r="AE79" i="7"/>
  <c r="AE84" i="7"/>
  <c r="AE89" i="7"/>
  <c r="AE97" i="7"/>
  <c r="AH74" i="10"/>
  <c r="AG79" i="10"/>
  <c r="AG84" i="10"/>
  <c r="AG89" i="10"/>
  <c r="AG97" i="10"/>
  <c r="AG77" i="10"/>
  <c r="AG82" i="10"/>
  <c r="AG87" i="10"/>
  <c r="AG95" i="10"/>
  <c r="AF77" i="7"/>
  <c r="AF82" i="7"/>
  <c r="AF87" i="7"/>
  <c r="AF95" i="7"/>
  <c r="AG74" i="7"/>
  <c r="AF79" i="7"/>
  <c r="AF84" i="7"/>
  <c r="AF89" i="7"/>
  <c r="AF97" i="7"/>
  <c r="AH77" i="10"/>
  <c r="AH82" i="10"/>
  <c r="AH87" i="10"/>
  <c r="AH95" i="10"/>
  <c r="J101" i="10"/>
  <c r="AH79" i="10"/>
  <c r="AH84" i="10"/>
  <c r="AH89" i="10"/>
  <c r="AH97" i="10"/>
  <c r="J103" i="10"/>
  <c r="AG79" i="7"/>
  <c r="AG84" i="7"/>
  <c r="AG89" i="7"/>
  <c r="AG97" i="7"/>
  <c r="AG77" i="7"/>
  <c r="AG82" i="7"/>
  <c r="AG87" i="7"/>
  <c r="AG95" i="7"/>
  <c r="AH74" i="7"/>
  <c r="G110" i="10"/>
  <c r="I20" i="8"/>
  <c r="I21" i="8"/>
  <c r="I4" i="8"/>
  <c r="I5" i="8"/>
  <c r="G109" i="10"/>
  <c r="H20" i="8"/>
  <c r="H21" i="8"/>
  <c r="H4" i="8"/>
  <c r="H5" i="8"/>
  <c r="AH77" i="7"/>
  <c r="AH82" i="7"/>
  <c r="AH87" i="7"/>
  <c r="AH95" i="7"/>
  <c r="J101" i="7"/>
  <c r="AH79" i="7"/>
  <c r="AH84" i="7"/>
  <c r="AH89" i="7"/>
  <c r="AH97" i="7"/>
  <c r="J103" i="7"/>
  <c r="H8" i="8"/>
  <c r="H9" i="8"/>
  <c r="H11" i="8"/>
  <c r="G109" i="7"/>
  <c r="H24" i="8"/>
  <c r="H25" i="8"/>
  <c r="H27" i="8"/>
  <c r="D32" i="8"/>
  <c r="I8" i="8"/>
  <c r="I9" i="8"/>
  <c r="I11" i="8"/>
  <c r="G110" i="7"/>
  <c r="I24" i="8"/>
  <c r="I25" i="8"/>
  <c r="I27" i="8"/>
  <c r="D34" i="8"/>
</calcChain>
</file>

<file path=xl/sharedStrings.xml><?xml version="1.0" encoding="utf-8"?>
<sst xmlns="http://schemas.openxmlformats.org/spreadsheetml/2006/main" count="377" uniqueCount="142">
  <si>
    <t>sq m</t>
  </si>
  <si>
    <t>sq ft</t>
  </si>
  <si>
    <t>Paint-only</t>
  </si>
  <si>
    <t>default</t>
  </si>
  <si>
    <t>In-shop application of complete system</t>
  </si>
  <si>
    <t>euro per sq m</t>
  </si>
  <si>
    <t>USD per sq ft</t>
  </si>
  <si>
    <t>default USD per sq ft</t>
  </si>
  <si>
    <t>2-pack epoxy 110 microns (4.3 mils)</t>
  </si>
  <si>
    <t>2-pack Polyurethane paint 50 microns (2 mils)</t>
  </si>
  <si>
    <t>Spray application 2-pack polyurethane paint 50 microns (2 mils)</t>
  </si>
  <si>
    <t>Subtotal paint-only application costs</t>
  </si>
  <si>
    <t>Area Coated, sq ft</t>
  </si>
  <si>
    <t>Job Multiplier</t>
  </si>
  <si>
    <t>default sq m</t>
  </si>
  <si>
    <t>default sq ft</t>
  </si>
  <si>
    <t>Total preparation, materials and application costs</t>
  </si>
  <si>
    <t>Total preparation and application costs</t>
  </si>
  <si>
    <t>Paint-only in-shop worksheet</t>
  </si>
  <si>
    <t>Thermal spray plus paint in-shop worksheet</t>
  </si>
  <si>
    <t>How large is the outside area to be coated?</t>
  </si>
  <si>
    <t>First page</t>
  </si>
  <si>
    <t>20 years</t>
  </si>
  <si>
    <t>Sealing with vinyl ester coating</t>
  </si>
  <si>
    <t>Shop applied thermal spray and paint topcoat system</t>
  </si>
  <si>
    <t>default euro per sq m</t>
  </si>
  <si>
    <t>Subtotal cost for total paint DFT 270 microns (10.6 mils)</t>
  </si>
  <si>
    <t xml:space="preserve"> </t>
  </si>
  <si>
    <t>Application Costs</t>
  </si>
  <si>
    <t>Maintenance Paint-Only</t>
  </si>
  <si>
    <t>What percent of coated area needs maintenance each year?</t>
  </si>
  <si>
    <t>Year</t>
  </si>
  <si>
    <t>percent of total coated area</t>
  </si>
  <si>
    <t xml:space="preserve">Default value of total coated area is </t>
  </si>
  <si>
    <t>total coated area sq ft</t>
  </si>
  <si>
    <t>total coated area sq m</t>
  </si>
  <si>
    <t>inflation rate</t>
  </si>
  <si>
    <t xml:space="preserve">Area requiring maintenance is total area multiplied by percent </t>
  </si>
  <si>
    <t>requiring maintenance each year</t>
  </si>
  <si>
    <t>Material Costs</t>
  </si>
  <si>
    <t xml:space="preserve"> Inflation Rate</t>
  </si>
  <si>
    <t>Surface blast to SP-10 using recyclable grit</t>
  </si>
  <si>
    <t>Subtotal application costs</t>
  </si>
  <si>
    <t>In-Shop</t>
  </si>
  <si>
    <t>Field Maintenance</t>
  </si>
  <si>
    <t>Offshore</t>
  </si>
  <si>
    <t>Job multiplier for field maintenance (needs call-up box to select multiplier)</t>
  </si>
  <si>
    <t>USD</t>
  </si>
  <si>
    <t>default USD</t>
  </si>
  <si>
    <t>euro</t>
  </si>
  <si>
    <t>default euro</t>
  </si>
  <si>
    <t>Total maintenance cost for paint-only</t>
  </si>
  <si>
    <t>Net present value of maintenance cost for paint-only</t>
  </si>
  <si>
    <t>Discount rate</t>
  </si>
  <si>
    <t>Total net present value for maintenance for life of project</t>
  </si>
  <si>
    <t>Base Price</t>
  </si>
  <si>
    <t>Total project coated area</t>
  </si>
  <si>
    <t>Maintenance Thermal Spray Zinc + Paint</t>
  </si>
  <si>
    <t>Final Sheet</t>
  </si>
  <si>
    <t>Initial Cost of Paint-Only Protective System</t>
  </si>
  <si>
    <t>Maintenance Cost of Paint-Only Protective System</t>
  </si>
  <si>
    <t>Initial cost of TSZ + Paint Protective Coating System</t>
  </si>
  <si>
    <t>Maintenance Cost of TSZ + Paint Protective Coating System</t>
  </si>
  <si>
    <t>Total Net Present Value of Paint-Only System</t>
  </si>
  <si>
    <t>Total Net Present Value of TSZ + Paint Protective Coating System</t>
  </si>
  <si>
    <t>Difference in NPV Cost between Paint-Only and TSZ+Paint</t>
  </si>
  <si>
    <t>Total area to be coated</t>
  </si>
  <si>
    <t>Total cost of applying the coating</t>
  </si>
  <si>
    <t>Lifetime of project, years</t>
  </si>
  <si>
    <t>Average Equivalent Annual Cost of Maintenance, USD</t>
  </si>
  <si>
    <t>Average Equivalent Annual Cost of Maintenance, euro</t>
  </si>
  <si>
    <t>Lifetime of project, default</t>
  </si>
  <si>
    <t>Life of project</t>
  </si>
  <si>
    <t>years</t>
  </si>
  <si>
    <t>Average annual coat of initial coating system:</t>
  </si>
  <si>
    <t>TSZ+paint</t>
  </si>
  <si>
    <t>Average Equivalent Annual Cost (AEAC) Comparison</t>
  </si>
  <si>
    <t>AEAC of Maintenance of Paint-Only System</t>
  </si>
  <si>
    <t>AEAC of TSZ+ Paint system</t>
  </si>
  <si>
    <t>Total average annual cost of paint-only system</t>
  </si>
  <si>
    <t>Total average annual cost of TSZ+paint system</t>
  </si>
  <si>
    <t>Difference between total average annual costs</t>
  </si>
  <si>
    <t>Net present value of maintenance cost for thermal spray + paint</t>
  </si>
  <si>
    <t>Total maintenance cost for thermal spray + paint</t>
  </si>
  <si>
    <t xml:space="preserve"> 2-Pack epoxy primer, 80 microns (3 mils)</t>
  </si>
  <si>
    <t xml:space="preserve"> 2-Pack epoxy intermediate coat, 80 microns (3 mils)</t>
  </si>
  <si>
    <t>Spray application epoxy primer, 80 microns (3 mils)</t>
  </si>
  <si>
    <t>Spray application epoxy intermediate coat, 80 microns (3 mils)</t>
  </si>
  <si>
    <t>Spray application solvent-based polyurethane, topcoat, 80 microns (3 mils)</t>
  </si>
  <si>
    <t xml:space="preserve"> 2-pack solvent-based polyurethane, topcoat, 80 microns (3 mils)</t>
  </si>
  <si>
    <t>Material Costs (brush-applied costs)</t>
  </si>
  <si>
    <t>Material costs (spray-applied costs)</t>
  </si>
  <si>
    <t>Materials Costs (spray-applied costs)</t>
  </si>
  <si>
    <t>Brush/roll epoxy primer, 80 microns (3 mils)</t>
  </si>
  <si>
    <t>Brush/roll epoxy intermediate coat, 80 microns (3 mils)</t>
  </si>
  <si>
    <t>Brush/roll  epoxy intermediate coat, 80 microns (3 mils)</t>
  </si>
  <si>
    <t>Brush/roll solvent-based polyurethane, topcoat, 80 microns (3 mils)</t>
  </si>
  <si>
    <t>Subtotal cost for total dry film thickness 320 microns (12 mils)</t>
  </si>
  <si>
    <t>Subtotal application cost for paint DFT 270 microns (10.6 mils) + 100 microns (3.9 mils) Zn thermal spray</t>
  </si>
  <si>
    <t>Subtotal cost for total dry film thickness 325 microns (12 mils)</t>
  </si>
  <si>
    <t>or</t>
  </si>
  <si>
    <t>Input your information into the orange boxes</t>
  </si>
  <si>
    <t>Shop Applied Paint</t>
  </si>
  <si>
    <t>(€) euro per sq m</t>
  </si>
  <si>
    <t>($) USD per sq ft</t>
  </si>
  <si>
    <t>Default Values</t>
  </si>
  <si>
    <t>Job Multiplier Tables</t>
  </si>
  <si>
    <t>10,000-25,000 sq ft (929-2322 sq m)</t>
  </si>
  <si>
    <t>25,000-75,000 sq ft (2322-6967 sq m)</t>
  </si>
  <si>
    <t>75,000-125,000 sq ft (6967-11612 sq m)</t>
  </si>
  <si>
    <t>125,000-300,000 sq ft (11612-27870 sq m)</t>
  </si>
  <si>
    <t>300,000-1,000,000 sq ft (27870-92903)</t>
  </si>
  <si>
    <t>1,000,000+ sq ft (92903+ sq m)</t>
  </si>
  <si>
    <t>Job multiplier for in-shop (choose from drop-down menu below):</t>
  </si>
  <si>
    <t>Input your information into the orange boxes.</t>
  </si>
  <si>
    <t xml:space="preserve">Total area to be coated </t>
  </si>
  <si>
    <t>Onshore &lt;50 feet high (&lt;15m high)</t>
  </si>
  <si>
    <t>Onshore 50-100 feet high (15-30m high)</t>
  </si>
  <si>
    <t>Onshore &gt;150 feet high (&gt;30m high)</t>
  </si>
  <si>
    <t>Menus, Tables, Arrays</t>
  </si>
  <si>
    <t>Default</t>
  </si>
  <si>
    <t>Lifetime of project in years</t>
  </si>
  <si>
    <t>($) USD</t>
  </si>
  <si>
    <t>(€) Euros</t>
  </si>
  <si>
    <t>Years of life of structure: (between 1 and 25)</t>
  </si>
  <si>
    <t>Average annual energy output of wind energy structure</t>
  </si>
  <si>
    <t>KWh</t>
  </si>
  <si>
    <t>Average annual energy output</t>
  </si>
  <si>
    <t>Annual savings per KWh USD</t>
  </si>
  <si>
    <t>Annual savings per KWh Euros</t>
  </si>
  <si>
    <t>Default annual KWh</t>
  </si>
  <si>
    <t>Default savings per KWh USD</t>
  </si>
  <si>
    <t>Default savings per KWh Euros</t>
  </si>
  <si>
    <t>cents per KWh</t>
  </si>
  <si>
    <t>eurocents per KWh</t>
  </si>
  <si>
    <t>2-Pack epoxy primer, 50 microns (2 mils)</t>
  </si>
  <si>
    <t>2-Pack epoxy intermediate coat, 100 microns (4 mils)</t>
  </si>
  <si>
    <t>Polyurethane Aliphatic HB Acrylic topcoat, 100 microns (4 mils)</t>
  </si>
  <si>
    <t>Subtotal cost for total dry film thickness 350 microns (14 mils)</t>
  </si>
  <si>
    <t>Grit blasting of steel  to SP3</t>
  </si>
  <si>
    <t>Zn thermal spray 100 microns (3.9 mils) (Includes blasting, material and apllication costs)</t>
  </si>
  <si>
    <t>Spray application 2-pack epoxy paint 80 microns (3 mils)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</si>
</sst>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&quot;$&quot;#,##0.00"/>
    <numFmt numFmtId="165" formatCode="[$€-813]\ #,##0.00"/>
    <numFmt numFmtId="167" formatCode="[$€-80C]\ #,##0.00"/>
    <numFmt numFmtId="168" formatCode="_([$€-2]\ * #,##0.00_);_([$€-2]\ * \(#,##0.00\);_([$€-2]\ * &quot;-&quot;??_);_(@_)"/>
    <numFmt numFmtId="169" formatCode="_([$$-409]* #,##0.00_);_([$$-409]* \(#,##0.00\);_([$$-409]* &quot;-&quot;??_);_(@_)"/>
    <numFmt numFmtId="170" formatCode="0.000"/>
    <numFmt numFmtId="171" formatCode="_(* #,##0_);_(* \(#,##0\);_(* &quot;-&quot;??_);_(@_)"/>
    <numFmt numFmtId="173" formatCode="_([$€-2]\ * #,##0_);_([$€-2]\ * \(#,##0\);_([$€-2]\ * &quot;-&quot;_);_(@_)"/>
    <numFmt numFmtId="174" formatCode="[$$-409]#,##0_);\([$$-409]#,##0\)"/>
    <numFmt numFmtId="175" formatCode="[$€-813]\ #,##0"/>
    <numFmt numFmtId="176" formatCode="&quot;$&quot;#,##0"/>
    <numFmt numFmtId="177" formatCode="[$€-813]\ #,##0;\-[$€-813]\ 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6">
    <xf numFmtId="0" fontId="0" fillId="0" borderId="0"/>
    <xf numFmtId="0" fontId="2" fillId="2" borderId="11" applyNumberFormat="0" applyAlignment="0" applyProtection="0"/>
    <xf numFmtId="0" fontId="1" fillId="3" borderId="12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9" fontId="0" fillId="0" borderId="0" xfId="0" applyNumberFormat="1"/>
    <xf numFmtId="1" fontId="0" fillId="0" borderId="0" xfId="0" applyNumberFormat="1"/>
    <xf numFmtId="0" fontId="0" fillId="0" borderId="8" xfId="0" applyBorder="1"/>
    <xf numFmtId="164" fontId="0" fillId="0" borderId="0" xfId="0" applyNumberFormat="1"/>
    <xf numFmtId="0" fontId="0" fillId="0" borderId="0" xfId="0" applyBorder="1"/>
    <xf numFmtId="0" fontId="0" fillId="0" borderId="9" xfId="0" applyFill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6" xfId="0" applyNumberFormat="1" applyBorder="1"/>
    <xf numFmtId="2" fontId="0" fillId="0" borderId="4" xfId="0" applyNumberFormat="1" applyBorder="1"/>
    <xf numFmtId="2" fontId="0" fillId="0" borderId="10" xfId="0" applyNumberFormat="1" applyBorder="1"/>
    <xf numFmtId="0" fontId="0" fillId="0" borderId="10" xfId="0" applyBorder="1"/>
    <xf numFmtId="2" fontId="0" fillId="0" borderId="2" xfId="0" applyNumberFormat="1" applyBorder="1"/>
    <xf numFmtId="0" fontId="0" fillId="0" borderId="0" xfId="0" applyAlignment="1">
      <alignment horizontal="right"/>
    </xf>
    <xf numFmtId="2" fontId="0" fillId="0" borderId="0" xfId="0" applyNumberFormat="1" applyBorder="1"/>
    <xf numFmtId="165" fontId="0" fillId="0" borderId="0" xfId="0" applyNumberFormat="1"/>
    <xf numFmtId="3" fontId="0" fillId="0" borderId="8" xfId="0" applyNumberFormat="1" applyBorder="1" applyAlignment="1">
      <alignment horizontal="center"/>
    </xf>
    <xf numFmtId="0" fontId="2" fillId="2" borderId="11" xfId="1"/>
    <xf numFmtId="0" fontId="5" fillId="0" borderId="0" xfId="0" applyFont="1"/>
    <xf numFmtId="0" fontId="6" fillId="0" borderId="0" xfId="0" applyFont="1"/>
    <xf numFmtId="0" fontId="2" fillId="2" borderId="13" xfId="1" applyBorder="1"/>
    <xf numFmtId="0" fontId="0" fillId="0" borderId="0" xfId="0" applyAlignment="1">
      <alignment horizontal="center" vertical="center"/>
    </xf>
    <xf numFmtId="0" fontId="0" fillId="3" borderId="12" xfId="2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2" fontId="0" fillId="3" borderId="12" xfId="2" applyNumberFormat="1" applyFont="1"/>
    <xf numFmtId="0" fontId="0" fillId="3" borderId="12" xfId="2" applyFont="1" applyAlignment="1">
      <alignment horizontal="right"/>
    </xf>
    <xf numFmtId="164" fontId="0" fillId="3" borderId="12" xfId="2" applyNumberFormat="1" applyFont="1"/>
    <xf numFmtId="2" fontId="0" fillId="0" borderId="15" xfId="0" applyNumberFormat="1" applyBorder="1"/>
    <xf numFmtId="0" fontId="5" fillId="0" borderId="0" xfId="0" applyFont="1" applyAlignment="1">
      <alignment horizontal="right"/>
    </xf>
    <xf numFmtId="0" fontId="7" fillId="4" borderId="12" xfId="2" applyFont="1" applyFill="1"/>
    <xf numFmtId="165" fontId="0" fillId="3" borderId="14" xfId="2" applyNumberFormat="1" applyFont="1" applyBorder="1"/>
    <xf numFmtId="0" fontId="9" fillId="0" borderId="0" xfId="0" applyFont="1" applyAlignment="1">
      <alignment horizontal="right"/>
    </xf>
    <xf numFmtId="0" fontId="0" fillId="0" borderId="15" xfId="0" applyBorder="1"/>
    <xf numFmtId="0" fontId="0" fillId="3" borderId="12" xfId="2" applyFont="1" applyAlignment="1">
      <alignment horizontal="center"/>
    </xf>
    <xf numFmtId="168" fontId="5" fillId="0" borderId="1" xfId="0" applyNumberFormat="1" applyFont="1" applyBorder="1"/>
    <xf numFmtId="169" fontId="5" fillId="0" borderId="1" xfId="0" applyNumberFormat="1" applyFont="1" applyBorder="1"/>
    <xf numFmtId="168" fontId="9" fillId="0" borderId="13" xfId="0" applyNumberFormat="1" applyFont="1" applyBorder="1"/>
    <xf numFmtId="165" fontId="0" fillId="3" borderId="12" xfId="2" applyNumberFormat="1" applyFont="1"/>
    <xf numFmtId="169" fontId="0" fillId="0" borderId="0" xfId="0" applyNumberFormat="1"/>
    <xf numFmtId="168" fontId="0" fillId="0" borderId="0" xfId="0" applyNumberFormat="1"/>
    <xf numFmtId="169" fontId="0" fillId="3" borderId="12" xfId="2" applyNumberFormat="1" applyFont="1"/>
    <xf numFmtId="168" fontId="0" fillId="3" borderId="12" xfId="2" applyNumberFormat="1" applyFont="1"/>
    <xf numFmtId="0" fontId="0" fillId="0" borderId="0" xfId="0" applyFont="1"/>
    <xf numFmtId="169" fontId="5" fillId="0" borderId="3" xfId="0" applyNumberFormat="1" applyFont="1" applyBorder="1"/>
    <xf numFmtId="169" fontId="5" fillId="0" borderId="6" xfId="0" applyNumberFormat="1" applyFont="1" applyBorder="1"/>
    <xf numFmtId="169" fontId="5" fillId="0" borderId="4" xfId="0" applyNumberFormat="1" applyFont="1" applyBorder="1"/>
    <xf numFmtId="168" fontId="5" fillId="0" borderId="3" xfId="0" applyNumberFormat="1" applyFont="1" applyBorder="1"/>
    <xf numFmtId="168" fontId="5" fillId="0" borderId="6" xfId="0" applyNumberFormat="1" applyFont="1" applyBorder="1"/>
    <xf numFmtId="168" fontId="5" fillId="0" borderId="4" xfId="0" applyNumberFormat="1" applyFont="1" applyBorder="1"/>
    <xf numFmtId="169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0" fillId="3" borderId="12" xfId="2" applyNumberFormat="1" applyFont="1" applyAlignment="1">
      <alignment horizontal="left"/>
    </xf>
    <xf numFmtId="164" fontId="0" fillId="3" borderId="14" xfId="2" applyNumberFormat="1" applyFont="1" applyBorder="1"/>
    <xf numFmtId="165" fontId="9" fillId="0" borderId="17" xfId="0" applyNumberFormat="1" applyFont="1" applyBorder="1"/>
    <xf numFmtId="164" fontId="9" fillId="0" borderId="13" xfId="0" applyNumberFormat="1" applyFont="1" applyBorder="1"/>
    <xf numFmtId="168" fontId="5" fillId="0" borderId="0" xfId="0" applyNumberFormat="1" applyFont="1"/>
    <xf numFmtId="167" fontId="0" fillId="3" borderId="14" xfId="2" applyNumberFormat="1" applyFont="1" applyBorder="1"/>
    <xf numFmtId="165" fontId="9" fillId="0" borderId="13" xfId="0" applyNumberFormat="1" applyFont="1" applyBorder="1"/>
    <xf numFmtId="0" fontId="11" fillId="0" borderId="0" xfId="0" applyFont="1"/>
    <xf numFmtId="169" fontId="9" fillId="0" borderId="0" xfId="0" applyNumberFormat="1" applyFont="1"/>
    <xf numFmtId="169" fontId="0" fillId="0" borderId="1" xfId="0" applyNumberFormat="1" applyBorder="1"/>
    <xf numFmtId="168" fontId="9" fillId="0" borderId="0" xfId="0" applyNumberFormat="1" applyFont="1"/>
    <xf numFmtId="168" fontId="0" fillId="0" borderId="15" xfId="0" applyNumberFormat="1" applyBorder="1"/>
    <xf numFmtId="3" fontId="0" fillId="3" borderId="12" xfId="2" applyNumberFormat="1" applyFont="1"/>
    <xf numFmtId="0" fontId="7" fillId="4" borderId="0" xfId="0" applyFont="1" applyFill="1"/>
    <xf numFmtId="3" fontId="2" fillId="2" borderId="13" xfId="1" applyNumberFormat="1" applyBorder="1"/>
    <xf numFmtId="171" fontId="0" fillId="0" borderId="13" xfId="23" applyNumberFormat="1" applyFont="1" applyBorder="1"/>
    <xf numFmtId="170" fontId="5" fillId="0" borderId="0" xfId="0" applyNumberFormat="1" applyFont="1"/>
    <xf numFmtId="169" fontId="0" fillId="0" borderId="0" xfId="0" applyNumberFormat="1" applyFont="1"/>
    <xf numFmtId="168" fontId="0" fillId="0" borderId="0" xfId="0" applyNumberFormat="1" applyFont="1"/>
    <xf numFmtId="170" fontId="0" fillId="3" borderId="12" xfId="2" applyNumberFormat="1" applyFont="1"/>
    <xf numFmtId="0" fontId="5" fillId="3" borderId="12" xfId="2" applyFont="1"/>
    <xf numFmtId="0" fontId="1" fillId="3" borderId="12" xfId="2" applyFont="1"/>
    <xf numFmtId="165" fontId="11" fillId="3" borderId="12" xfId="2" applyNumberFormat="1" applyFont="1"/>
    <xf numFmtId="169" fontId="9" fillId="0" borderId="13" xfId="0" applyNumberFormat="1" applyFont="1" applyBorder="1"/>
    <xf numFmtId="164" fontId="11" fillId="3" borderId="14" xfId="2" applyNumberFormat="1" applyFont="1" applyBorder="1"/>
    <xf numFmtId="0" fontId="0" fillId="3" borderId="18" xfId="2" applyFont="1" applyBorder="1"/>
    <xf numFmtId="0" fontId="0" fillId="0" borderId="19" xfId="0" applyBorder="1"/>
    <xf numFmtId="0" fontId="0" fillId="0" borderId="20" xfId="0" applyBorder="1"/>
    <xf numFmtId="0" fontId="0" fillId="0" borderId="16" xfId="0" applyBorder="1"/>
    <xf numFmtId="0" fontId="0" fillId="0" borderId="13" xfId="0" applyBorder="1"/>
    <xf numFmtId="0" fontId="0" fillId="3" borderId="14" xfId="2" applyFont="1" applyBorder="1"/>
    <xf numFmtId="2" fontId="0" fillId="0" borderId="13" xfId="0" applyNumberFormat="1" applyBorder="1"/>
    <xf numFmtId="0" fontId="0" fillId="3" borderId="12" xfId="2" applyFont="1" applyAlignment="1">
      <alignment horizontal="center"/>
    </xf>
    <xf numFmtId="0" fontId="2" fillId="2" borderId="11" xfId="1" applyAlignment="1">
      <alignment horizontal="center"/>
    </xf>
    <xf numFmtId="173" fontId="9" fillId="0" borderId="13" xfId="0" applyNumberFormat="1" applyFont="1" applyBorder="1"/>
    <xf numFmtId="174" fontId="9" fillId="0" borderId="16" xfId="0" applyNumberFormat="1" applyFont="1" applyBorder="1"/>
    <xf numFmtId="175" fontId="0" fillId="3" borderId="12" xfId="2" applyNumberFormat="1" applyFont="1"/>
    <xf numFmtId="176" fontId="0" fillId="3" borderId="12" xfId="2" applyNumberFormat="1" applyFont="1"/>
    <xf numFmtId="175" fontId="0" fillId="3" borderId="14" xfId="2" applyNumberFormat="1" applyFont="1" applyBorder="1"/>
    <xf numFmtId="176" fontId="9" fillId="0" borderId="16" xfId="0" applyNumberFormat="1" applyFont="1" applyBorder="1"/>
    <xf numFmtId="177" fontId="9" fillId="0" borderId="13" xfId="0" applyNumberFormat="1" applyFont="1" applyBorder="1"/>
  </cellXfs>
  <cellStyles count="26">
    <cellStyle name="Comma" xfId="23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5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4" builtinId="8" hidden="1"/>
    <cellStyle name="Input" xfId="1" builtinId="20"/>
    <cellStyle name="Normal" xfId="0" builtinId="0"/>
    <cellStyle name="Note" xfId="2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zoomScale="125" zoomScaleNormal="125" zoomScalePageLayoutView="125" workbookViewId="0">
      <selection activeCell="E13" sqref="E13"/>
    </sheetView>
  </sheetViews>
  <sheetFormatPr defaultColWidth="8.85546875" defaultRowHeight="15" x14ac:dyDescent="0.25"/>
  <cols>
    <col min="1" max="1" width="49.28515625" customWidth="1"/>
    <col min="2" max="2" width="10.28515625" bestFit="1" customWidth="1"/>
    <col min="6" max="6" width="10.42578125" bestFit="1" customWidth="1"/>
    <col min="7" max="7" width="10.140625" bestFit="1" customWidth="1"/>
    <col min="15" max="15" width="10.42578125" bestFit="1" customWidth="1"/>
    <col min="16" max="16" width="10.140625" bestFit="1" customWidth="1"/>
  </cols>
  <sheetData>
    <row r="1" spans="1:8" s="31" customFormat="1" ht="18.75" x14ac:dyDescent="0.3">
      <c r="A1" s="31" t="s">
        <v>21</v>
      </c>
    </row>
    <row r="2" spans="1:8" x14ac:dyDescent="0.25">
      <c r="A2" s="73" t="s">
        <v>101</v>
      </c>
    </row>
    <row r="4" spans="1:8" ht="15.75" thickBot="1" x14ac:dyDescent="0.3">
      <c r="B4" t="s">
        <v>0</v>
      </c>
      <c r="D4" t="s">
        <v>1</v>
      </c>
      <c r="F4" s="29" t="s">
        <v>14</v>
      </c>
      <c r="G4" s="29" t="s">
        <v>15</v>
      </c>
    </row>
    <row r="5" spans="1:8" ht="16.5" thickBot="1" x14ac:dyDescent="0.3">
      <c r="A5" s="30" t="s">
        <v>20</v>
      </c>
      <c r="B5" s="27">
        <v>1286</v>
      </c>
      <c r="C5" s="28" t="s">
        <v>100</v>
      </c>
      <c r="D5" s="27">
        <v>13842</v>
      </c>
      <c r="F5" s="29">
        <v>1286</v>
      </c>
      <c r="G5" s="29">
        <v>13842</v>
      </c>
    </row>
    <row r="6" spans="1:8" x14ac:dyDescent="0.25">
      <c r="A6" s="30"/>
    </row>
    <row r="7" spans="1:8" ht="15.75" thickBot="1" x14ac:dyDescent="0.3">
      <c r="A7" s="30"/>
    </row>
    <row r="8" spans="1:8" ht="16.5" thickBot="1" x14ac:dyDescent="0.3">
      <c r="A8" s="30" t="s">
        <v>124</v>
      </c>
      <c r="B8" s="27">
        <v>20</v>
      </c>
      <c r="F8" s="29" t="s">
        <v>3</v>
      </c>
      <c r="G8" s="29" t="s">
        <v>22</v>
      </c>
    </row>
    <row r="10" spans="1:8" ht="15.75" thickBot="1" x14ac:dyDescent="0.3"/>
    <row r="11" spans="1:8" ht="16.5" thickBot="1" x14ac:dyDescent="0.3">
      <c r="A11" s="30" t="s">
        <v>125</v>
      </c>
      <c r="B11" s="74">
        <v>13000000</v>
      </c>
      <c r="C11" t="s">
        <v>126</v>
      </c>
      <c r="F11" s="29" t="s">
        <v>3</v>
      </c>
      <c r="G11" s="72">
        <v>13000000</v>
      </c>
      <c r="H11" s="29" t="s">
        <v>126</v>
      </c>
    </row>
  </sheetData>
  <phoneticPr fontId="8" type="noConversion"/>
  <dataValidations count="1">
    <dataValidation type="whole" allowBlank="1" showInputMessage="1" showErrorMessage="1" sqref="B8:C8" xr:uid="{00000000-0002-0000-0000-000000000000}">
      <formula1>1</formula1>
      <formula2>25</formula2>
    </dataValidation>
  </dataValidations>
  <pageMargins left="0.25" right="0.25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opLeftCell="A20" zoomScale="125" zoomScaleNormal="125" zoomScalePageLayoutView="125" workbookViewId="0">
      <selection activeCell="G29" sqref="G29"/>
    </sheetView>
  </sheetViews>
  <sheetFormatPr defaultColWidth="8.85546875" defaultRowHeight="15" x14ac:dyDescent="0.25"/>
  <cols>
    <col min="1" max="1" width="57.140625" bestFit="1" customWidth="1"/>
    <col min="2" max="2" width="14.140625" bestFit="1" customWidth="1"/>
    <col min="3" max="3" width="13.42578125" bestFit="1" customWidth="1"/>
    <col min="4" max="4" width="14.140625" bestFit="1" customWidth="1"/>
    <col min="5" max="5" width="13.42578125" bestFit="1" customWidth="1"/>
    <col min="6" max="6" width="6.140625" customWidth="1"/>
  </cols>
  <sheetData>
    <row r="1" spans="1:5" s="31" customFormat="1" ht="18.75" x14ac:dyDescent="0.3">
      <c r="A1" s="31" t="s">
        <v>18</v>
      </c>
    </row>
    <row r="2" spans="1:5" x14ac:dyDescent="0.25">
      <c r="A2" t="s">
        <v>4</v>
      </c>
    </row>
    <row r="3" spans="1:5" x14ac:dyDescent="0.25">
      <c r="A3" s="38" t="s">
        <v>114</v>
      </c>
      <c r="D3" s="92" t="s">
        <v>105</v>
      </c>
      <c r="E3" s="92"/>
    </row>
    <row r="4" spans="1:5" x14ac:dyDescent="0.25">
      <c r="B4" t="s">
        <v>103</v>
      </c>
      <c r="C4" t="s">
        <v>104</v>
      </c>
      <c r="D4" s="29" t="s">
        <v>103</v>
      </c>
      <c r="E4" s="29" t="s">
        <v>104</v>
      </c>
    </row>
    <row r="5" spans="1:5" ht="15.75" x14ac:dyDescent="0.25">
      <c r="A5" s="25" t="s">
        <v>139</v>
      </c>
      <c r="B5" s="24">
        <v>3.59</v>
      </c>
      <c r="C5" s="24">
        <v>0.43</v>
      </c>
      <c r="D5" s="33">
        <f>+E5*8.34</f>
        <v>3.5861999999999998</v>
      </c>
      <c r="E5" s="29">
        <v>0.43</v>
      </c>
    </row>
    <row r="7" spans="1:5" x14ac:dyDescent="0.25">
      <c r="A7" s="25" t="s">
        <v>102</v>
      </c>
    </row>
    <row r="8" spans="1:5" x14ac:dyDescent="0.25">
      <c r="A8" s="32" t="s">
        <v>91</v>
      </c>
    </row>
    <row r="9" spans="1:5" ht="15.75" x14ac:dyDescent="0.25">
      <c r="A9" t="s">
        <v>135</v>
      </c>
      <c r="B9" s="24">
        <v>1.46</v>
      </c>
      <c r="C9" s="24">
        <v>0.17499999999999999</v>
      </c>
      <c r="D9" s="33">
        <f>+E9*8.34</f>
        <v>1.4594999999999998</v>
      </c>
      <c r="E9" s="29">
        <v>0.17499999999999999</v>
      </c>
    </row>
    <row r="10" spans="1:5" ht="15.75" x14ac:dyDescent="0.25">
      <c r="A10" t="s">
        <v>136</v>
      </c>
      <c r="B10" s="24">
        <v>2.66</v>
      </c>
      <c r="C10" s="24">
        <v>0.31900000000000001</v>
      </c>
      <c r="D10" s="33">
        <f t="shared" ref="D10:D12" si="0">+E10*8.34</f>
        <v>2.66046</v>
      </c>
      <c r="E10" s="29">
        <v>0.31900000000000001</v>
      </c>
    </row>
    <row r="11" spans="1:5" ht="15.75" x14ac:dyDescent="0.25">
      <c r="A11" t="s">
        <v>136</v>
      </c>
      <c r="B11" s="24">
        <v>2.66</v>
      </c>
      <c r="C11" s="24">
        <v>0.31900000000000001</v>
      </c>
      <c r="D11" s="33">
        <f t="shared" si="0"/>
        <v>2.66046</v>
      </c>
      <c r="E11" s="29">
        <v>0.31900000000000001</v>
      </c>
    </row>
    <row r="12" spans="1:5" ht="15.75" x14ac:dyDescent="0.25">
      <c r="A12" t="s">
        <v>137</v>
      </c>
      <c r="B12" s="24">
        <v>4.3499999999999996</v>
      </c>
      <c r="C12" s="24">
        <v>0.52100000000000002</v>
      </c>
      <c r="D12" s="33">
        <f t="shared" si="0"/>
        <v>4.3451399999999998</v>
      </c>
      <c r="E12" s="29">
        <v>0.52100000000000002</v>
      </c>
    </row>
    <row r="13" spans="1:5" x14ac:dyDescent="0.25">
      <c r="B13" s="5"/>
      <c r="C13" s="6"/>
    </row>
    <row r="14" spans="1:5" x14ac:dyDescent="0.25">
      <c r="A14" s="37" t="s">
        <v>138</v>
      </c>
      <c r="B14" s="2">
        <f>SUM(B9:B12)</f>
        <v>11.129999999999999</v>
      </c>
      <c r="C14" s="41">
        <f>SUM(C9:C12)</f>
        <v>1.3340000000000001</v>
      </c>
      <c r="D14" s="33">
        <f>SUM(D9:D12)</f>
        <v>11.12556</v>
      </c>
      <c r="E14" s="29">
        <f>SUM(E9:E12)</f>
        <v>1.3340000000000001</v>
      </c>
    </row>
    <row r="15" spans="1:5" x14ac:dyDescent="0.25">
      <c r="B15" s="4"/>
      <c r="C15" s="4"/>
    </row>
    <row r="16" spans="1:5" x14ac:dyDescent="0.25">
      <c r="A16" s="32" t="s">
        <v>28</v>
      </c>
    </row>
    <row r="17" spans="1:5" ht="15.75" x14ac:dyDescent="0.25">
      <c r="A17" t="s">
        <v>86</v>
      </c>
      <c r="B17" s="24">
        <v>6.42</v>
      </c>
      <c r="C17" s="24">
        <v>0.77</v>
      </c>
      <c r="D17" s="33">
        <f t="shared" ref="D17:D20" si="1">+E17*8.34</f>
        <v>6.4218000000000002</v>
      </c>
      <c r="E17" s="29">
        <v>0.77</v>
      </c>
    </row>
    <row r="18" spans="1:5" ht="15.75" x14ac:dyDescent="0.25">
      <c r="A18" t="s">
        <v>87</v>
      </c>
      <c r="B18" s="24">
        <v>6.42</v>
      </c>
      <c r="C18" s="24">
        <v>0.77</v>
      </c>
      <c r="D18" s="33">
        <f t="shared" si="1"/>
        <v>6.4218000000000002</v>
      </c>
      <c r="E18" s="29">
        <v>0.77</v>
      </c>
    </row>
    <row r="19" spans="1:5" ht="15.75" x14ac:dyDescent="0.25">
      <c r="A19" t="s">
        <v>87</v>
      </c>
      <c r="B19" s="24">
        <v>6.42</v>
      </c>
      <c r="C19" s="24">
        <v>0.77</v>
      </c>
      <c r="D19" s="33">
        <f t="shared" si="1"/>
        <v>6.4218000000000002</v>
      </c>
      <c r="E19" s="29">
        <v>0.77</v>
      </c>
    </row>
    <row r="20" spans="1:5" ht="15.75" x14ac:dyDescent="0.25">
      <c r="A20" t="s">
        <v>88</v>
      </c>
      <c r="B20" s="24">
        <v>6.67</v>
      </c>
      <c r="C20" s="24">
        <v>0.57999999999999996</v>
      </c>
      <c r="D20" s="33">
        <f t="shared" si="1"/>
        <v>6.6720000000000006</v>
      </c>
      <c r="E20" s="29">
        <v>0.8</v>
      </c>
    </row>
    <row r="21" spans="1:5" x14ac:dyDescent="0.25">
      <c r="B21" s="5"/>
      <c r="C21" s="5"/>
    </row>
    <row r="22" spans="1:5" x14ac:dyDescent="0.25">
      <c r="A22" s="37" t="s">
        <v>11</v>
      </c>
      <c r="B22" s="2">
        <f>SUM(B17:B20)</f>
        <v>25.93</v>
      </c>
      <c r="C22" s="41">
        <f>SUM(C17:C20)</f>
        <v>2.89</v>
      </c>
      <c r="D22" s="33">
        <f>SUM(D17:D20)</f>
        <v>25.9374</v>
      </c>
      <c r="E22" s="29">
        <f>SUM(E17:E20)</f>
        <v>3.1100000000000003</v>
      </c>
    </row>
    <row r="24" spans="1:5" x14ac:dyDescent="0.25">
      <c r="A24" t="s">
        <v>113</v>
      </c>
      <c r="B24" s="2">
        <f>VLOOKUP(A25,LookupInShop,2,FALSE)</f>
        <v>1.2</v>
      </c>
      <c r="C24" s="2">
        <f>B24</f>
        <v>1.2</v>
      </c>
      <c r="D24" s="29">
        <v>1.2</v>
      </c>
      <c r="E24" s="29">
        <v>1.2</v>
      </c>
    </row>
    <row r="25" spans="1:5" ht="15.75" x14ac:dyDescent="0.25">
      <c r="A25" s="24" t="s">
        <v>107</v>
      </c>
    </row>
    <row r="27" spans="1:5" x14ac:dyDescent="0.25">
      <c r="A27" s="37" t="s">
        <v>17</v>
      </c>
      <c r="B27" s="13">
        <v>35.43</v>
      </c>
      <c r="C27" s="13">
        <v>4.25</v>
      </c>
      <c r="D27" s="33">
        <f>+(D5+D22)*D24</f>
        <v>35.428319999999999</v>
      </c>
      <c r="E27" s="33">
        <f>+(E5+E22)*E24</f>
        <v>4.2480000000000002</v>
      </c>
    </row>
    <row r="28" spans="1:5" x14ac:dyDescent="0.25">
      <c r="A28" s="37"/>
    </row>
    <row r="29" spans="1:5" x14ac:dyDescent="0.25">
      <c r="A29" s="37" t="s">
        <v>16</v>
      </c>
      <c r="B29" s="13">
        <f>+B14+B27</f>
        <v>46.56</v>
      </c>
      <c r="C29" s="36">
        <f>+C14+C27</f>
        <v>5.5839999999999996</v>
      </c>
      <c r="D29" s="33">
        <f>+D14+D27</f>
        <v>46.553879999999999</v>
      </c>
      <c r="E29" s="33">
        <f>+E14+E27</f>
        <v>5.5820000000000007</v>
      </c>
    </row>
    <row r="30" spans="1:5" x14ac:dyDescent="0.25">
      <c r="A30" s="37" t="s">
        <v>27</v>
      </c>
    </row>
    <row r="31" spans="1:5" ht="15.75" thickBot="1" x14ac:dyDescent="0.3">
      <c r="A31" s="37"/>
      <c r="B31" s="20" t="s">
        <v>0</v>
      </c>
      <c r="C31" s="20" t="s">
        <v>1</v>
      </c>
      <c r="D31" s="34" t="s">
        <v>0</v>
      </c>
      <c r="E31" s="34" t="s">
        <v>1</v>
      </c>
    </row>
    <row r="32" spans="1:5" ht="15.75" thickBot="1" x14ac:dyDescent="0.3">
      <c r="A32" s="37" t="s">
        <v>115</v>
      </c>
      <c r="B32" s="89">
        <f>'First Sheet'!B5</f>
        <v>1286</v>
      </c>
      <c r="C32" s="89">
        <f>'First Sheet'!D5</f>
        <v>13842</v>
      </c>
      <c r="D32" s="90">
        <v>1286</v>
      </c>
      <c r="E32" s="29">
        <v>13842</v>
      </c>
    </row>
    <row r="33" spans="1:5" ht="15.75" thickBot="1" x14ac:dyDescent="0.3"/>
    <row r="34" spans="1:5" ht="19.5" thickBot="1" x14ac:dyDescent="0.35">
      <c r="A34" s="40" t="s">
        <v>67</v>
      </c>
      <c r="B34" s="100">
        <f>+B29*B32</f>
        <v>59876.160000000003</v>
      </c>
      <c r="C34" s="99">
        <f>+C29*C32</f>
        <v>77293.727999999988</v>
      </c>
      <c r="D34" s="98">
        <f>+D29*D32</f>
        <v>59868.289680000002</v>
      </c>
      <c r="E34" s="97">
        <f>+E29*E32</f>
        <v>77266.044000000009</v>
      </c>
    </row>
  </sheetData>
  <mergeCells count="1">
    <mergeCell ref="D3:E3"/>
  </mergeCells>
  <phoneticPr fontId="8" type="noConversion"/>
  <dataValidations count="1">
    <dataValidation type="list" allowBlank="1" showInputMessage="1" showErrorMessage="1" sqref="A25" xr:uid="{00000000-0002-0000-0100-000000000000}">
      <formula1>ValidInShop</formula1>
    </dataValidation>
  </dataValidations>
  <pageMargins left="0.25" right="0.25" top="0.75" bottom="0.75" header="0.3" footer="0.3"/>
  <pageSetup paperSize="9" scale="96" orientation="landscape"/>
  <rowBreaks count="1" manualBreakCount="1">
    <brk id="34" max="16383" man="1"/>
  </rowBreaks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abSelected="1" topLeftCell="A22" zoomScale="125" zoomScaleNormal="125" zoomScalePageLayoutView="125" workbookViewId="0">
      <selection activeCell="C26" sqref="C26"/>
    </sheetView>
  </sheetViews>
  <sheetFormatPr defaultColWidth="8.85546875" defaultRowHeight="15" x14ac:dyDescent="0.25"/>
  <cols>
    <col min="1" max="1" width="80.7109375" customWidth="1"/>
    <col min="2" max="2" width="14.140625" bestFit="1" customWidth="1"/>
    <col min="3" max="3" width="15.140625" bestFit="1" customWidth="1"/>
    <col min="4" max="4" width="14.140625" bestFit="1" customWidth="1"/>
    <col min="5" max="5" width="13.42578125" bestFit="1" customWidth="1"/>
  </cols>
  <sheetData>
    <row r="1" spans="1:5" ht="18.75" x14ac:dyDescent="0.3">
      <c r="A1" s="31" t="s">
        <v>19</v>
      </c>
    </row>
    <row r="2" spans="1:5" x14ac:dyDescent="0.25">
      <c r="A2" t="s">
        <v>4</v>
      </c>
    </row>
    <row r="3" spans="1:5" x14ac:dyDescent="0.25">
      <c r="A3" s="38" t="s">
        <v>114</v>
      </c>
      <c r="D3" s="92" t="s">
        <v>105</v>
      </c>
      <c r="E3" s="92"/>
    </row>
    <row r="4" spans="1:5" x14ac:dyDescent="0.25">
      <c r="B4" t="s">
        <v>103</v>
      </c>
      <c r="C4" t="s">
        <v>104</v>
      </c>
      <c r="D4" s="29" t="s">
        <v>103</v>
      </c>
      <c r="E4" s="29" t="s">
        <v>104</v>
      </c>
    </row>
    <row r="6" spans="1:5" x14ac:dyDescent="0.25">
      <c r="A6" s="25" t="s">
        <v>24</v>
      </c>
    </row>
    <row r="7" spans="1:5" x14ac:dyDescent="0.25">
      <c r="A7" s="32" t="s">
        <v>92</v>
      </c>
    </row>
    <row r="8" spans="1:5" ht="15.75" x14ac:dyDescent="0.25">
      <c r="A8" t="s">
        <v>8</v>
      </c>
      <c r="B8" s="24">
        <v>2.5</v>
      </c>
      <c r="C8" s="24">
        <v>0.3</v>
      </c>
      <c r="D8" s="33">
        <f t="shared" ref="D8:D10" si="0">+E8*8.34</f>
        <v>2.7688800000000002</v>
      </c>
      <c r="E8" s="29">
        <v>0.33200000000000002</v>
      </c>
    </row>
    <row r="9" spans="1:5" ht="15.75" x14ac:dyDescent="0.25">
      <c r="A9" t="s">
        <v>8</v>
      </c>
      <c r="B9" s="24">
        <v>2.5</v>
      </c>
      <c r="C9" s="24">
        <v>0.3</v>
      </c>
      <c r="D9" s="33">
        <f t="shared" si="0"/>
        <v>2.7688800000000002</v>
      </c>
      <c r="E9" s="29">
        <v>0.33200000000000002</v>
      </c>
    </row>
    <row r="10" spans="1:5" ht="15.75" x14ac:dyDescent="0.25">
      <c r="A10" t="s">
        <v>9</v>
      </c>
      <c r="B10" s="24">
        <v>15.51</v>
      </c>
      <c r="C10" s="24">
        <v>1.86</v>
      </c>
      <c r="D10" s="33">
        <f t="shared" si="0"/>
        <v>2.7772200000000002</v>
      </c>
      <c r="E10" s="29">
        <v>0.33300000000000002</v>
      </c>
    </row>
    <row r="11" spans="1:5" x14ac:dyDescent="0.25">
      <c r="B11" s="5"/>
      <c r="C11" s="5"/>
      <c r="D11" s="1" t="s">
        <v>27</v>
      </c>
    </row>
    <row r="12" spans="1:5" x14ac:dyDescent="0.25">
      <c r="A12" s="37" t="s">
        <v>26</v>
      </c>
      <c r="B12" s="2">
        <f>SUM(B8:B10)</f>
        <v>20.509999999999998</v>
      </c>
      <c r="C12" s="2">
        <f>SUM(C8:C10)</f>
        <v>2.46</v>
      </c>
      <c r="D12" s="33">
        <f>+E12*8.34</f>
        <v>8.3149800000000003</v>
      </c>
      <c r="E12" s="29">
        <f>SUM(E8:E10)</f>
        <v>0.99700000000000011</v>
      </c>
    </row>
    <row r="14" spans="1:5" x14ac:dyDescent="0.25">
      <c r="A14" s="32" t="s">
        <v>28</v>
      </c>
    </row>
    <row r="15" spans="1:5" ht="15.75" x14ac:dyDescent="0.25">
      <c r="A15" t="s">
        <v>140</v>
      </c>
      <c r="B15" s="24">
        <v>13.76</v>
      </c>
      <c r="C15" s="24">
        <v>1.65</v>
      </c>
      <c r="D15" s="33">
        <f t="shared" ref="D15:D19" si="1">+E15*8.34</f>
        <v>59.547599999999996</v>
      </c>
      <c r="E15" s="29">
        <v>7.14</v>
      </c>
    </row>
    <row r="16" spans="1:5" ht="15.75" x14ac:dyDescent="0.25">
      <c r="A16" t="s">
        <v>23</v>
      </c>
      <c r="B16" s="24">
        <v>3.34</v>
      </c>
      <c r="C16" s="24">
        <v>0.4</v>
      </c>
      <c r="D16" s="33">
        <f t="shared" si="1"/>
        <v>5.8379999999999992</v>
      </c>
      <c r="E16" s="29">
        <v>0.7</v>
      </c>
    </row>
    <row r="17" spans="1:5" ht="15.75" x14ac:dyDescent="0.25">
      <c r="A17" t="s">
        <v>141</v>
      </c>
      <c r="B17" s="24">
        <v>4.59</v>
      </c>
      <c r="C17" s="24">
        <v>0.55000000000000004</v>
      </c>
      <c r="D17" s="33">
        <f t="shared" si="1"/>
        <v>6.4218000000000002</v>
      </c>
      <c r="E17" s="29">
        <v>0.77</v>
      </c>
    </row>
    <row r="18" spans="1:5" ht="15.75" x14ac:dyDescent="0.25">
      <c r="A18" t="s">
        <v>141</v>
      </c>
      <c r="B18" s="24">
        <v>4.59</v>
      </c>
      <c r="C18" s="24">
        <v>0.55000000000000004</v>
      </c>
      <c r="D18" s="33">
        <f t="shared" si="1"/>
        <v>6.4218000000000002</v>
      </c>
      <c r="E18" s="29">
        <v>0.77</v>
      </c>
    </row>
    <row r="19" spans="1:5" ht="15.75" x14ac:dyDescent="0.25">
      <c r="A19" t="s">
        <v>10</v>
      </c>
      <c r="B19" s="24">
        <v>4.84</v>
      </c>
      <c r="C19" s="24">
        <v>0.57999999999999996</v>
      </c>
      <c r="D19" s="33">
        <f t="shared" si="1"/>
        <v>6.6720000000000006</v>
      </c>
      <c r="E19" s="29">
        <v>0.8</v>
      </c>
    </row>
    <row r="21" spans="1:5" x14ac:dyDescent="0.25">
      <c r="A21" s="37" t="s">
        <v>98</v>
      </c>
      <c r="B21" s="2">
        <f>SUM(B15:B19)</f>
        <v>31.12</v>
      </c>
      <c r="C21" s="2">
        <f>SUM(C15:C19)</f>
        <v>3.7299999999999995</v>
      </c>
      <c r="D21" s="33">
        <f>+E21*8.34</f>
        <v>84.901200000000003</v>
      </c>
      <c r="E21" s="29">
        <f>SUM(E15:E19)</f>
        <v>10.18</v>
      </c>
    </row>
    <row r="23" spans="1:5" x14ac:dyDescent="0.25">
      <c r="A23" t="s">
        <v>113</v>
      </c>
      <c r="B23" s="2">
        <f>VLOOKUP(A24,LookupInShop,2,FALSE)</f>
        <v>1.2</v>
      </c>
      <c r="C23" s="2">
        <f>B23</f>
        <v>1.2</v>
      </c>
      <c r="D23" s="29">
        <v>1.2</v>
      </c>
      <c r="E23" s="29">
        <v>1.2</v>
      </c>
    </row>
    <row r="24" spans="1:5" ht="15.75" x14ac:dyDescent="0.25">
      <c r="A24" s="24" t="s">
        <v>107</v>
      </c>
      <c r="B24" s="11"/>
      <c r="C24" s="11"/>
    </row>
    <row r="26" spans="1:5" x14ac:dyDescent="0.25">
      <c r="A26" s="37" t="s">
        <v>17</v>
      </c>
      <c r="B26" s="13">
        <f>+(B21)*B23</f>
        <v>37.344000000000001</v>
      </c>
      <c r="C26" s="2">
        <f>+(C21)*C23</f>
        <v>4.4759999999999991</v>
      </c>
      <c r="D26" s="33">
        <f>+(D21)*D23</f>
        <v>101.88144</v>
      </c>
      <c r="E26" s="29">
        <f>+(E21)*E23</f>
        <v>12.215999999999999</v>
      </c>
    </row>
    <row r="27" spans="1:5" x14ac:dyDescent="0.25">
      <c r="A27" s="37"/>
    </row>
    <row r="28" spans="1:5" x14ac:dyDescent="0.25">
      <c r="A28" s="37" t="s">
        <v>16</v>
      </c>
      <c r="B28" s="2">
        <f>+B12+B26</f>
        <v>57.853999999999999</v>
      </c>
      <c r="C28" s="2">
        <f>+C12+C26</f>
        <v>6.9359999999999991</v>
      </c>
      <c r="D28" s="33">
        <f>+D12+D26</f>
        <v>110.19642</v>
      </c>
      <c r="E28" s="29">
        <f>+E12+E26</f>
        <v>13.212999999999999</v>
      </c>
    </row>
    <row r="29" spans="1:5" x14ac:dyDescent="0.25">
      <c r="A29" s="37"/>
    </row>
    <row r="30" spans="1:5" x14ac:dyDescent="0.25">
      <c r="A30" s="37"/>
    </row>
    <row r="31" spans="1:5" ht="15.75" thickBot="1" x14ac:dyDescent="0.3">
      <c r="A31" s="37"/>
      <c r="B31" s="20" t="s">
        <v>0</v>
      </c>
      <c r="C31" s="20" t="s">
        <v>1</v>
      </c>
      <c r="D31" s="34" t="s">
        <v>0</v>
      </c>
      <c r="E31" s="34" t="s">
        <v>1</v>
      </c>
    </row>
    <row r="32" spans="1:5" ht="15.75" thickBot="1" x14ac:dyDescent="0.3">
      <c r="A32" s="37" t="s">
        <v>66</v>
      </c>
      <c r="B32" s="91">
        <f>'First Sheet'!B5</f>
        <v>1286</v>
      </c>
      <c r="C32" s="89">
        <f>'First Sheet'!D5</f>
        <v>13842</v>
      </c>
      <c r="D32" s="90">
        <v>1286</v>
      </c>
      <c r="E32" s="29">
        <v>13842</v>
      </c>
    </row>
    <row r="33" spans="1:5" ht="15.75" thickBot="1" x14ac:dyDescent="0.3">
      <c r="B33" s="21"/>
      <c r="C33" s="11"/>
      <c r="D33" s="20"/>
      <c r="E33" s="20"/>
    </row>
    <row r="34" spans="1:5" ht="19.5" thickBot="1" x14ac:dyDescent="0.35">
      <c r="A34" s="40" t="s">
        <v>67</v>
      </c>
      <c r="B34" s="94">
        <f>+B28*B32</f>
        <v>74400.244000000006</v>
      </c>
      <c r="C34" s="95">
        <f>+C28*C32</f>
        <v>96008.111999999994</v>
      </c>
      <c r="D34" s="96">
        <f>+D28*D32</f>
        <v>141712.59612</v>
      </c>
      <c r="E34" s="97">
        <f>+E28*E32</f>
        <v>182894.34599999999</v>
      </c>
    </row>
  </sheetData>
  <mergeCells count="1">
    <mergeCell ref="D3:E3"/>
  </mergeCells>
  <phoneticPr fontId="8" type="noConversion"/>
  <dataValidations count="1">
    <dataValidation type="list" allowBlank="1" showInputMessage="1" showErrorMessage="1" sqref="A24" xr:uid="{00000000-0002-0000-0200-000000000000}">
      <formula1>ValidInShop</formula1>
    </dataValidation>
  </dataValidations>
  <pageMargins left="0.25" right="0.25" top="0.75" bottom="0.75" header="0.3" footer="0.3"/>
  <pageSetup paperSize="9" scale="93" orientation="landscape" horizontalDpi="4294967292" verticalDpi="4294967292" r:id="rId1"/>
  <rowBreaks count="1" manualBreakCount="1">
    <brk id="3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10"/>
  <sheetViews>
    <sheetView topLeftCell="A73" zoomScale="110" zoomScaleNormal="110" zoomScalePageLayoutView="110" workbookViewId="0">
      <selection activeCell="F4" sqref="F4"/>
    </sheetView>
  </sheetViews>
  <sheetFormatPr defaultColWidth="8.85546875" defaultRowHeight="15" x14ac:dyDescent="0.25"/>
  <cols>
    <col min="7" max="7" width="13.42578125" bestFit="1" customWidth="1"/>
    <col min="8" max="8" width="26" bestFit="1" customWidth="1"/>
    <col min="10" max="10" width="13.42578125" bestFit="1" customWidth="1"/>
    <col min="11" max="21" width="11.140625" bestFit="1" customWidth="1"/>
    <col min="22" max="29" width="12.140625" bestFit="1" customWidth="1"/>
    <col min="30" max="30" width="11.85546875" customWidth="1"/>
    <col min="31" max="32" width="11" customWidth="1"/>
    <col min="33" max="33" width="11.28515625" customWidth="1"/>
    <col min="34" max="34" width="11.42578125" customWidth="1"/>
  </cols>
  <sheetData>
    <row r="1" spans="1:35" s="31" customFormat="1" ht="18.75" x14ac:dyDescent="0.3">
      <c r="A1" s="31" t="s">
        <v>29</v>
      </c>
    </row>
    <row r="2" spans="1:35" x14ac:dyDescent="0.25">
      <c r="A2" s="29" t="s">
        <v>33</v>
      </c>
      <c r="B2" s="29"/>
      <c r="C2" s="29"/>
      <c r="D2" s="29"/>
      <c r="E2" s="29">
        <v>13842</v>
      </c>
      <c r="F2" s="29" t="s">
        <v>1</v>
      </c>
      <c r="J2" t="s">
        <v>27</v>
      </c>
    </row>
    <row r="3" spans="1:35" ht="15.75" thickBot="1" x14ac:dyDescent="0.3">
      <c r="H3" t="s">
        <v>31</v>
      </c>
      <c r="I3">
        <v>0</v>
      </c>
      <c r="J3">
        <v>1</v>
      </c>
      <c r="K3">
        <v>2</v>
      </c>
      <c r="L3">
        <v>3</v>
      </c>
      <c r="M3">
        <v>4</v>
      </c>
      <c r="N3">
        <v>5</v>
      </c>
      <c r="O3">
        <v>6</v>
      </c>
      <c r="P3">
        <v>7</v>
      </c>
      <c r="Q3">
        <v>8</v>
      </c>
      <c r="R3">
        <v>9</v>
      </c>
      <c r="S3">
        <v>10</v>
      </c>
      <c r="T3">
        <v>11</v>
      </c>
      <c r="U3">
        <v>12</v>
      </c>
      <c r="V3">
        <v>13</v>
      </c>
      <c r="W3">
        <v>14</v>
      </c>
      <c r="X3">
        <v>15</v>
      </c>
      <c r="Y3">
        <v>16</v>
      </c>
      <c r="Z3">
        <v>17</v>
      </c>
      <c r="AA3">
        <v>18</v>
      </c>
      <c r="AB3">
        <v>19</v>
      </c>
      <c r="AC3">
        <v>20</v>
      </c>
      <c r="AD3">
        <v>21</v>
      </c>
      <c r="AE3">
        <v>22</v>
      </c>
      <c r="AF3">
        <v>23</v>
      </c>
      <c r="AG3">
        <v>24</v>
      </c>
      <c r="AH3">
        <v>25</v>
      </c>
    </row>
    <row r="4" spans="1:35" ht="15.75" thickBot="1" x14ac:dyDescent="0.3">
      <c r="A4" t="s">
        <v>56</v>
      </c>
      <c r="D4" s="89">
        <f>'First Sheet'!D5</f>
        <v>13842</v>
      </c>
      <c r="E4" t="s">
        <v>1</v>
      </c>
      <c r="F4" s="89">
        <f>'First Sheet'!B5</f>
        <v>1286</v>
      </c>
      <c r="G4" t="s">
        <v>0</v>
      </c>
      <c r="H4" t="s">
        <v>32</v>
      </c>
      <c r="J4" s="86">
        <v>1</v>
      </c>
      <c r="K4" s="87">
        <f>IF('First Sheet'!$B$8&lt;'Maintenance Paint-Only'!K3,0,1)</f>
        <v>1</v>
      </c>
      <c r="L4" s="87">
        <f>IF('First Sheet'!$B$8&lt;'Maintenance Paint-Only'!L3,0,1)</f>
        <v>1</v>
      </c>
      <c r="M4" s="87">
        <f>IF('First Sheet'!$B$8&lt;'Maintenance Paint-Only'!M3,0,1)</f>
        <v>1</v>
      </c>
      <c r="N4" s="87">
        <f>IF('First Sheet'!$B$8&lt;'Maintenance Paint-Only'!N3,0,1)</f>
        <v>1</v>
      </c>
      <c r="O4" s="87">
        <f>IF('First Sheet'!$B$8&lt;'Maintenance Paint-Only'!O3,0,1)</f>
        <v>1</v>
      </c>
      <c r="P4" s="87">
        <f>IF('First Sheet'!$B$8&lt;'Maintenance Paint-Only'!P3,0,1)</f>
        <v>1</v>
      </c>
      <c r="Q4" s="87">
        <f>IF('First Sheet'!$B$8&lt;'Maintenance Paint-Only'!Q3,0,1)</f>
        <v>1</v>
      </c>
      <c r="R4" s="87">
        <f>IF('First Sheet'!$B$8&lt;'Maintenance Paint-Only'!R3,0,1)</f>
        <v>1</v>
      </c>
      <c r="S4" s="87">
        <f>IF('First Sheet'!$B$8&lt;'Maintenance Paint-Only'!S3,0,1)</f>
        <v>1</v>
      </c>
      <c r="T4" s="87">
        <f>IF('First Sheet'!$B$8&lt;'Maintenance Paint-Only'!T3,0,1)</f>
        <v>1</v>
      </c>
      <c r="U4" s="87">
        <f>IF('First Sheet'!$B$8&lt;'Maintenance Paint-Only'!U3,0,1)</f>
        <v>1</v>
      </c>
      <c r="V4" s="87">
        <f>IF('First Sheet'!$B$8&lt;'Maintenance Paint-Only'!V3,0,5)</f>
        <v>5</v>
      </c>
      <c r="W4" s="87">
        <f>IF('First Sheet'!$B$8&lt;'Maintenance Paint-Only'!W3,0,5)</f>
        <v>5</v>
      </c>
      <c r="X4" s="87">
        <f>IF('First Sheet'!$B$8&lt;'Maintenance Paint-Only'!X3,0,5)</f>
        <v>5</v>
      </c>
      <c r="Y4" s="87">
        <f>IF('First Sheet'!$B$8&lt;'Maintenance Paint-Only'!Y3,0,5)</f>
        <v>5</v>
      </c>
      <c r="Z4" s="87">
        <f>IF('First Sheet'!$B$8&lt;'Maintenance Paint-Only'!Z3,0,5)</f>
        <v>5</v>
      </c>
      <c r="AA4" s="87">
        <f>IF('First Sheet'!$B$8&lt;'Maintenance Paint-Only'!AA3,0,5)</f>
        <v>5</v>
      </c>
      <c r="AB4" s="87">
        <f>IF('First Sheet'!$B$8&lt;'Maintenance Paint-Only'!AB3,0,5)</f>
        <v>5</v>
      </c>
      <c r="AC4" s="87">
        <f>IF('First Sheet'!$B$8&lt;'Maintenance Paint-Only'!AC3,0,5)</f>
        <v>5</v>
      </c>
      <c r="AD4" s="87">
        <f>IF('First Sheet'!$B$8&lt;'Maintenance Paint-Only'!AD3,0,5)</f>
        <v>0</v>
      </c>
      <c r="AE4" s="87">
        <f>IF('First Sheet'!$B$8&lt;'Maintenance Paint-Only'!AE3,0,5)</f>
        <v>0</v>
      </c>
      <c r="AF4" s="87">
        <f>IF('First Sheet'!$B$8&lt;'Maintenance Paint-Only'!AF3,0,5)</f>
        <v>0</v>
      </c>
      <c r="AG4" s="87">
        <f>IF('First Sheet'!$B$8&lt;'Maintenance Paint-Only'!AG3,0,5)</f>
        <v>0</v>
      </c>
      <c r="AH4" s="88">
        <f>IF('First Sheet'!$B$8&lt;'Maintenance Paint-Only'!AH3,0,5)</f>
        <v>0</v>
      </c>
    </row>
    <row r="5" spans="1:35" x14ac:dyDescent="0.25">
      <c r="A5" t="s">
        <v>30</v>
      </c>
      <c r="H5" t="s">
        <v>3</v>
      </c>
      <c r="J5" s="85">
        <v>1</v>
      </c>
      <c r="K5" s="85">
        <v>1</v>
      </c>
      <c r="L5" s="85">
        <v>1</v>
      </c>
      <c r="M5" s="85">
        <v>1</v>
      </c>
      <c r="N5" s="85">
        <v>1</v>
      </c>
      <c r="O5" s="85">
        <v>1</v>
      </c>
      <c r="P5" s="85">
        <v>1</v>
      </c>
      <c r="Q5" s="85">
        <v>1</v>
      </c>
      <c r="R5" s="85">
        <v>1</v>
      </c>
      <c r="S5" s="85">
        <v>1</v>
      </c>
      <c r="T5" s="85">
        <v>1</v>
      </c>
      <c r="U5" s="85">
        <v>1</v>
      </c>
      <c r="V5" s="85">
        <v>5</v>
      </c>
      <c r="W5" s="85">
        <v>5</v>
      </c>
      <c r="X5" s="85">
        <v>5</v>
      </c>
      <c r="Y5" s="85">
        <v>5</v>
      </c>
      <c r="Z5" s="85">
        <v>5</v>
      </c>
      <c r="AA5" s="85">
        <v>5</v>
      </c>
      <c r="AB5" s="85">
        <v>5</v>
      </c>
      <c r="AC5" s="85">
        <v>5</v>
      </c>
      <c r="AD5" s="85">
        <v>0</v>
      </c>
      <c r="AE5" s="85">
        <v>0</v>
      </c>
      <c r="AF5" s="85">
        <v>0</v>
      </c>
      <c r="AG5" s="85">
        <v>0</v>
      </c>
      <c r="AH5" s="85">
        <v>0</v>
      </c>
    </row>
    <row r="7" spans="1:35" x14ac:dyDescent="0.25">
      <c r="A7" t="s">
        <v>37</v>
      </c>
      <c r="H7" t="s">
        <v>34</v>
      </c>
      <c r="J7" s="2">
        <f>+J4/100*D4</f>
        <v>138.42000000000002</v>
      </c>
      <c r="K7" s="2">
        <f>+K4/100*D4</f>
        <v>138.42000000000002</v>
      </c>
      <c r="L7" s="2">
        <f>+L4/100*D4</f>
        <v>138.42000000000002</v>
      </c>
      <c r="M7" s="2">
        <f>+M4/100*D4</f>
        <v>138.42000000000002</v>
      </c>
      <c r="N7" s="2">
        <f>+N4/100*D4</f>
        <v>138.42000000000002</v>
      </c>
      <c r="O7" s="2">
        <f>+O4/100*D4</f>
        <v>138.42000000000002</v>
      </c>
      <c r="P7" s="2">
        <f>+P4/100*D4</f>
        <v>138.42000000000002</v>
      </c>
      <c r="Q7" s="2">
        <f>+Q4/100*D4</f>
        <v>138.42000000000002</v>
      </c>
      <c r="R7" s="2">
        <f>+R4/100*D4</f>
        <v>138.42000000000002</v>
      </c>
      <c r="S7" s="2">
        <f>+S4/100*D4</f>
        <v>138.42000000000002</v>
      </c>
      <c r="T7" s="2">
        <f>+T4/100*D4</f>
        <v>138.42000000000002</v>
      </c>
      <c r="U7" s="2">
        <f>+U4/100*D4</f>
        <v>138.42000000000002</v>
      </c>
      <c r="V7" s="2">
        <f>+V4/100*D4</f>
        <v>692.1</v>
      </c>
      <c r="W7" s="2">
        <f>+W4/100*D4</f>
        <v>692.1</v>
      </c>
      <c r="X7" s="2">
        <f>+X4/100*D4</f>
        <v>692.1</v>
      </c>
      <c r="Y7" s="2">
        <f>+Y4/100*D4</f>
        <v>692.1</v>
      </c>
      <c r="Z7" s="2">
        <f>+Z4/100*D4</f>
        <v>692.1</v>
      </c>
      <c r="AA7" s="2">
        <f>+AA4/100*D4</f>
        <v>692.1</v>
      </c>
      <c r="AB7" s="2">
        <f>+AB4/100*D4</f>
        <v>692.1</v>
      </c>
      <c r="AC7" s="2">
        <f>+AC4/100*D4</f>
        <v>692.1</v>
      </c>
      <c r="AD7" s="2">
        <f>+AD4/100*D4</f>
        <v>0</v>
      </c>
      <c r="AE7" s="2">
        <f>+AE4/100*D4</f>
        <v>0</v>
      </c>
      <c r="AF7" s="2">
        <f>+AF4/100*D4</f>
        <v>0</v>
      </c>
      <c r="AG7" s="2">
        <f>+AG4/100*D4</f>
        <v>0</v>
      </c>
      <c r="AH7" s="2">
        <f>+AH4/100*D4</f>
        <v>0</v>
      </c>
      <c r="AI7" t="s">
        <v>27</v>
      </c>
    </row>
    <row r="8" spans="1:35" x14ac:dyDescent="0.25">
      <c r="A8" t="s">
        <v>38</v>
      </c>
      <c r="H8" t="s">
        <v>3</v>
      </c>
      <c r="J8">
        <f>+J5/100*E2</f>
        <v>138.42000000000002</v>
      </c>
      <c r="K8">
        <f>+K5/100*E2</f>
        <v>138.42000000000002</v>
      </c>
      <c r="L8">
        <f>+L5/100*E2</f>
        <v>138.42000000000002</v>
      </c>
      <c r="M8">
        <f>+M5/100*E2</f>
        <v>138.42000000000002</v>
      </c>
      <c r="N8">
        <f>+N5/100*E2</f>
        <v>138.42000000000002</v>
      </c>
      <c r="O8">
        <f>O5/100*E2</f>
        <v>138.42000000000002</v>
      </c>
      <c r="P8">
        <f>+P5/100*E2</f>
        <v>138.42000000000002</v>
      </c>
      <c r="Q8">
        <f>+Q5/100*E2</f>
        <v>138.42000000000002</v>
      </c>
      <c r="R8">
        <f>+R5/100*E2</f>
        <v>138.42000000000002</v>
      </c>
      <c r="S8">
        <f>+S5/100*E2</f>
        <v>138.42000000000002</v>
      </c>
      <c r="T8">
        <f>+T5/100*E2</f>
        <v>138.42000000000002</v>
      </c>
      <c r="U8">
        <f>+U5/100*E2</f>
        <v>138.42000000000002</v>
      </c>
      <c r="V8">
        <f>+V5/100*E2</f>
        <v>692.1</v>
      </c>
      <c r="W8">
        <f>+W5/100*E2</f>
        <v>692.1</v>
      </c>
      <c r="X8">
        <f>+X5/100*E2</f>
        <v>692.1</v>
      </c>
      <c r="Y8">
        <f>+Y5/100*E2</f>
        <v>692.1</v>
      </c>
      <c r="Z8">
        <f>+Z5/100*E2</f>
        <v>692.1</v>
      </c>
      <c r="AA8">
        <f>+AA5/100*E2</f>
        <v>692.1</v>
      </c>
      <c r="AB8">
        <f>+AB5/100*E2</f>
        <v>692.1</v>
      </c>
      <c r="AC8">
        <f>+AC5/100*E2</f>
        <v>692.1</v>
      </c>
      <c r="AD8">
        <f>+AD5/100*E2</f>
        <v>0</v>
      </c>
      <c r="AE8">
        <f>+AE5/100*E2</f>
        <v>0</v>
      </c>
      <c r="AF8">
        <f>+AF5/100*E2</f>
        <v>0</v>
      </c>
      <c r="AG8">
        <f>+AG5/100*E2</f>
        <v>0</v>
      </c>
      <c r="AH8">
        <f>+AH5/100*E2</f>
        <v>0</v>
      </c>
    </row>
    <row r="9" spans="1:35" x14ac:dyDescent="0.25">
      <c r="A9" t="s">
        <v>27</v>
      </c>
      <c r="H9" t="s">
        <v>35</v>
      </c>
      <c r="J9" s="2">
        <f>+J4/100*F4</f>
        <v>12.86</v>
      </c>
      <c r="K9" s="2">
        <f>+K4/100*F4</f>
        <v>12.86</v>
      </c>
      <c r="L9" s="2">
        <f>+L4/100*F4</f>
        <v>12.86</v>
      </c>
      <c r="M9" s="2">
        <f>+M4/100*F4</f>
        <v>12.86</v>
      </c>
      <c r="N9" s="2">
        <f>+N4/100*F4</f>
        <v>12.86</v>
      </c>
      <c r="O9" s="2">
        <f>+O4/100*F4</f>
        <v>12.86</v>
      </c>
      <c r="P9" s="2">
        <f>+P4/100*F4</f>
        <v>12.86</v>
      </c>
      <c r="Q9" s="2">
        <f>+Q4/100*F4</f>
        <v>12.86</v>
      </c>
      <c r="R9" s="2">
        <f>+R4/100*F4</f>
        <v>12.86</v>
      </c>
      <c r="S9" s="2">
        <f>+S4/100*F4</f>
        <v>12.86</v>
      </c>
      <c r="T9" s="2">
        <f>+T4/100*F4</f>
        <v>12.86</v>
      </c>
      <c r="U9" s="2">
        <f>+U4/100*F4</f>
        <v>12.86</v>
      </c>
      <c r="V9" s="2">
        <f>+V4/100*F4</f>
        <v>64.3</v>
      </c>
      <c r="W9" s="2">
        <f>+W4/100*F4</f>
        <v>64.3</v>
      </c>
      <c r="X9" s="2">
        <f>+X4/100*F4</f>
        <v>64.3</v>
      </c>
      <c r="Y9" s="2">
        <f>+Y4/100*F4</f>
        <v>64.3</v>
      </c>
      <c r="Z9" s="2">
        <f>+Z4/100*F4</f>
        <v>64.3</v>
      </c>
      <c r="AA9" s="2">
        <f>+AA4/100*F4</f>
        <v>64.3</v>
      </c>
      <c r="AB9" s="2">
        <f>+AB4/100*F4</f>
        <v>64.3</v>
      </c>
      <c r="AC9" s="2">
        <f>+AC4/100*F4</f>
        <v>64.3</v>
      </c>
      <c r="AD9" s="2">
        <f>+AD4/100*F4</f>
        <v>0</v>
      </c>
      <c r="AE9" s="2">
        <f>+AE4/100*F4</f>
        <v>0</v>
      </c>
      <c r="AF9" s="2">
        <f>+AF4/100*F4</f>
        <v>0</v>
      </c>
      <c r="AG9" s="2">
        <f>+AG4/100*F4</f>
        <v>0</v>
      </c>
      <c r="AH9" s="2">
        <f>+AH4/100*F4</f>
        <v>0</v>
      </c>
    </row>
    <row r="10" spans="1:35" x14ac:dyDescent="0.25">
      <c r="H10" t="s">
        <v>3</v>
      </c>
      <c r="J10" s="1">
        <f t="shared" ref="J10:AH10" si="0">+J8*0.0929</f>
        <v>12.859218</v>
      </c>
      <c r="K10" s="1">
        <f t="shared" si="0"/>
        <v>12.859218</v>
      </c>
      <c r="L10" s="1">
        <f t="shared" si="0"/>
        <v>12.859218</v>
      </c>
      <c r="M10" s="1">
        <f t="shared" si="0"/>
        <v>12.859218</v>
      </c>
      <c r="N10" s="1">
        <f t="shared" si="0"/>
        <v>12.859218</v>
      </c>
      <c r="O10" s="1">
        <f t="shared" si="0"/>
        <v>12.859218</v>
      </c>
      <c r="P10" s="1">
        <f t="shared" si="0"/>
        <v>12.859218</v>
      </c>
      <c r="Q10" s="1">
        <f t="shared" si="0"/>
        <v>12.859218</v>
      </c>
      <c r="R10" s="1">
        <f t="shared" si="0"/>
        <v>12.859218</v>
      </c>
      <c r="S10" s="1">
        <f t="shared" si="0"/>
        <v>12.859218</v>
      </c>
      <c r="T10" s="1">
        <f t="shared" si="0"/>
        <v>12.859218</v>
      </c>
      <c r="U10" s="1">
        <f t="shared" si="0"/>
        <v>12.859218</v>
      </c>
      <c r="V10" s="1">
        <f t="shared" si="0"/>
        <v>64.296090000000007</v>
      </c>
      <c r="W10" s="1">
        <f t="shared" si="0"/>
        <v>64.296090000000007</v>
      </c>
      <c r="X10" s="1">
        <f t="shared" si="0"/>
        <v>64.296090000000007</v>
      </c>
      <c r="Y10" s="1">
        <f t="shared" si="0"/>
        <v>64.296090000000007</v>
      </c>
      <c r="Z10" s="1">
        <f t="shared" si="0"/>
        <v>64.296090000000007</v>
      </c>
      <c r="AA10" s="1">
        <f t="shared" si="0"/>
        <v>64.296090000000007</v>
      </c>
      <c r="AB10" s="1">
        <f t="shared" si="0"/>
        <v>64.296090000000007</v>
      </c>
      <c r="AC10" s="1">
        <f t="shared" si="0"/>
        <v>64.296090000000007</v>
      </c>
      <c r="AD10" s="1">
        <f t="shared" si="0"/>
        <v>0</v>
      </c>
      <c r="AE10" s="1">
        <f t="shared" si="0"/>
        <v>0</v>
      </c>
      <c r="AF10" s="1">
        <f t="shared" si="0"/>
        <v>0</v>
      </c>
      <c r="AG10" s="1">
        <f t="shared" si="0"/>
        <v>0</v>
      </c>
      <c r="AH10" s="1">
        <f t="shared" si="0"/>
        <v>0</v>
      </c>
    </row>
    <row r="12" spans="1:35" ht="15.75" x14ac:dyDescent="0.25">
      <c r="A12" t="s">
        <v>40</v>
      </c>
      <c r="D12" t="s">
        <v>27</v>
      </c>
      <c r="E12" t="s">
        <v>27</v>
      </c>
      <c r="H12" t="s">
        <v>36</v>
      </c>
      <c r="J12" s="24">
        <v>2</v>
      </c>
      <c r="K12" s="24">
        <v>2</v>
      </c>
      <c r="L12" s="24">
        <v>2</v>
      </c>
      <c r="M12" s="24">
        <v>2</v>
      </c>
      <c r="N12" s="24">
        <v>2</v>
      </c>
      <c r="O12" s="24">
        <v>2</v>
      </c>
      <c r="P12" s="24">
        <v>2</v>
      </c>
      <c r="Q12" s="24">
        <v>2</v>
      </c>
      <c r="R12" s="24">
        <v>2</v>
      </c>
      <c r="S12" s="24">
        <v>2</v>
      </c>
      <c r="T12" s="24">
        <v>2</v>
      </c>
      <c r="U12" s="24">
        <v>2</v>
      </c>
      <c r="V12" s="24">
        <v>2</v>
      </c>
      <c r="W12" s="24">
        <v>2</v>
      </c>
      <c r="X12" s="24">
        <v>2</v>
      </c>
      <c r="Y12" s="24">
        <v>2</v>
      </c>
      <c r="Z12" s="24">
        <v>2</v>
      </c>
      <c r="AA12" s="24">
        <v>2</v>
      </c>
      <c r="AB12" s="24">
        <v>2</v>
      </c>
      <c r="AC12" s="24">
        <v>2</v>
      </c>
      <c r="AD12" s="24">
        <v>2</v>
      </c>
      <c r="AE12" s="24">
        <v>2</v>
      </c>
      <c r="AF12" s="24">
        <v>2</v>
      </c>
      <c r="AG12" s="24">
        <v>2</v>
      </c>
      <c r="AH12" s="24">
        <v>2</v>
      </c>
      <c r="AI12" s="12" t="s">
        <v>27</v>
      </c>
    </row>
    <row r="13" spans="1:35" x14ac:dyDescent="0.25">
      <c r="H13" t="s">
        <v>3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2</v>
      </c>
      <c r="AB13">
        <v>2</v>
      </c>
      <c r="AC13">
        <v>2</v>
      </c>
      <c r="AD13">
        <v>2</v>
      </c>
      <c r="AE13">
        <v>2</v>
      </c>
      <c r="AF13">
        <v>2</v>
      </c>
      <c r="AG13">
        <v>2</v>
      </c>
      <c r="AH13">
        <v>2</v>
      </c>
    </row>
    <row r="15" spans="1:35" x14ac:dyDescent="0.25">
      <c r="A15" s="26" t="s">
        <v>90</v>
      </c>
      <c r="I15" t="s">
        <v>55</v>
      </c>
    </row>
    <row r="16" spans="1:35" ht="15.75" x14ac:dyDescent="0.25">
      <c r="A16" t="s">
        <v>84</v>
      </c>
      <c r="H16" t="s">
        <v>6</v>
      </c>
      <c r="I16" s="24">
        <v>0.3</v>
      </c>
      <c r="J16" s="16">
        <f t="shared" ref="J16:AH16" si="1">I16*(1+(J12/100))</f>
        <v>0.30599999999999999</v>
      </c>
      <c r="K16" s="14">
        <f t="shared" si="1"/>
        <v>0.31212000000000001</v>
      </c>
      <c r="L16" s="15">
        <f t="shared" si="1"/>
        <v>0.31836239999999999</v>
      </c>
      <c r="M16" s="15">
        <f t="shared" si="1"/>
        <v>0.32472964799999998</v>
      </c>
      <c r="N16" s="15">
        <f t="shared" si="1"/>
        <v>0.33122424095999997</v>
      </c>
      <c r="O16" s="15">
        <f t="shared" si="1"/>
        <v>0.3378487257792</v>
      </c>
      <c r="P16" s="15">
        <f t="shared" si="1"/>
        <v>0.34460570029478399</v>
      </c>
      <c r="Q16" s="15">
        <f t="shared" si="1"/>
        <v>0.35149781430067967</v>
      </c>
      <c r="R16" s="15">
        <f t="shared" si="1"/>
        <v>0.35852777058669327</v>
      </c>
      <c r="S16" s="15">
        <f t="shared" si="1"/>
        <v>0.36569832599842717</v>
      </c>
      <c r="T16" s="15">
        <f t="shared" si="1"/>
        <v>0.37301229251839574</v>
      </c>
      <c r="U16" s="15">
        <f t="shared" si="1"/>
        <v>0.38047253836876366</v>
      </c>
      <c r="V16" s="15">
        <f t="shared" si="1"/>
        <v>0.38808198913613895</v>
      </c>
      <c r="W16" s="15">
        <f t="shared" si="1"/>
        <v>0.39584362891886171</v>
      </c>
      <c r="X16" s="15">
        <f t="shared" si="1"/>
        <v>0.40376050149723897</v>
      </c>
      <c r="Y16" s="15">
        <f t="shared" si="1"/>
        <v>0.41183571152718373</v>
      </c>
      <c r="Z16" s="15">
        <f t="shared" si="1"/>
        <v>0.42007242575772741</v>
      </c>
      <c r="AA16" s="15">
        <f t="shared" si="1"/>
        <v>0.42847387427288197</v>
      </c>
      <c r="AB16" s="15">
        <f t="shared" si="1"/>
        <v>0.43704335175833964</v>
      </c>
      <c r="AC16" s="15">
        <f t="shared" si="1"/>
        <v>0.44578421879350644</v>
      </c>
      <c r="AD16" s="15">
        <f t="shared" si="1"/>
        <v>0.45469990316937658</v>
      </c>
      <c r="AE16" s="15">
        <f t="shared" si="1"/>
        <v>0.46379390123276415</v>
      </c>
      <c r="AF16" s="15">
        <f t="shared" si="1"/>
        <v>0.47306977925741944</v>
      </c>
      <c r="AG16" s="15">
        <f t="shared" si="1"/>
        <v>0.48253117484256786</v>
      </c>
      <c r="AH16" s="16">
        <f t="shared" si="1"/>
        <v>0.49218179833941922</v>
      </c>
    </row>
    <row r="17" spans="1:35" x14ac:dyDescent="0.25">
      <c r="H17" t="s">
        <v>7</v>
      </c>
      <c r="I17">
        <v>0.21</v>
      </c>
      <c r="J17" s="1">
        <f>I17*(1+(J13/100))</f>
        <v>0.2142</v>
      </c>
      <c r="K17" s="1">
        <f t="shared" ref="K17:AC17" si="2">+J17*(1+(K13/100))</f>
        <v>0.21848400000000001</v>
      </c>
      <c r="L17" s="1">
        <f t="shared" si="2"/>
        <v>0.22285368000000003</v>
      </c>
      <c r="M17" s="1">
        <f t="shared" si="2"/>
        <v>0.22731075360000003</v>
      </c>
      <c r="N17" s="1">
        <f t="shared" si="2"/>
        <v>0.23185696867200004</v>
      </c>
      <c r="O17" s="1">
        <f t="shared" si="2"/>
        <v>0.23649410804544005</v>
      </c>
      <c r="P17" s="1">
        <f t="shared" si="2"/>
        <v>0.24122399020634885</v>
      </c>
      <c r="Q17" s="1">
        <f t="shared" si="2"/>
        <v>0.24604847001047583</v>
      </c>
      <c r="R17" s="1">
        <f t="shared" si="2"/>
        <v>0.25096943941068534</v>
      </c>
      <c r="S17" s="1">
        <f t="shared" si="2"/>
        <v>0.25598882819889907</v>
      </c>
      <c r="T17" s="1">
        <f t="shared" si="2"/>
        <v>0.26110860476287706</v>
      </c>
      <c r="U17" s="1">
        <f t="shared" si="2"/>
        <v>0.26633077685813461</v>
      </c>
      <c r="V17" s="1">
        <f t="shared" si="2"/>
        <v>0.27165739239529729</v>
      </c>
      <c r="W17" s="1">
        <f t="shared" si="2"/>
        <v>0.27709054024320323</v>
      </c>
      <c r="X17" s="1">
        <f t="shared" si="2"/>
        <v>0.28263235104806728</v>
      </c>
      <c r="Y17" s="1">
        <f t="shared" si="2"/>
        <v>0.28828499806902863</v>
      </c>
      <c r="Z17" s="1">
        <f t="shared" si="2"/>
        <v>0.29405069803040923</v>
      </c>
      <c r="AA17" s="1">
        <f t="shared" si="2"/>
        <v>0.29993171199101742</v>
      </c>
      <c r="AB17" s="1">
        <f t="shared" si="2"/>
        <v>0.30593034623083776</v>
      </c>
      <c r="AC17" s="1">
        <f t="shared" si="2"/>
        <v>0.3120489531554545</v>
      </c>
      <c r="AD17">
        <v>0</v>
      </c>
      <c r="AE17">
        <v>0</v>
      </c>
      <c r="AF17">
        <v>0</v>
      </c>
      <c r="AG17">
        <v>0</v>
      </c>
      <c r="AH17">
        <v>0</v>
      </c>
      <c r="AI17" t="s">
        <v>27</v>
      </c>
    </row>
    <row r="18" spans="1:35" ht="15.75" x14ac:dyDescent="0.25">
      <c r="H18" t="s">
        <v>5</v>
      </c>
      <c r="I18" s="24">
        <v>2.5</v>
      </c>
      <c r="J18" s="15">
        <f t="shared" ref="J18:AH18" si="3">I18*(1+(J12/100))</f>
        <v>2.5499999999999998</v>
      </c>
      <c r="K18" s="15">
        <f t="shared" si="3"/>
        <v>2.601</v>
      </c>
      <c r="L18" s="15">
        <f t="shared" si="3"/>
        <v>2.6530200000000002</v>
      </c>
      <c r="M18" s="15">
        <f t="shared" si="3"/>
        <v>2.7060804000000003</v>
      </c>
      <c r="N18" s="15">
        <f t="shared" si="3"/>
        <v>2.7602020080000003</v>
      </c>
      <c r="O18" s="15">
        <f t="shared" si="3"/>
        <v>2.8154060481600003</v>
      </c>
      <c r="P18" s="15">
        <f t="shared" si="3"/>
        <v>2.8717141691232002</v>
      </c>
      <c r="Q18" s="15">
        <f t="shared" si="3"/>
        <v>2.9291484525056641</v>
      </c>
      <c r="R18" s="15">
        <f t="shared" si="3"/>
        <v>2.9877314215557775</v>
      </c>
      <c r="S18" s="15">
        <f t="shared" si="3"/>
        <v>3.047486049986893</v>
      </c>
      <c r="T18" s="15">
        <f t="shared" si="3"/>
        <v>3.108435770986631</v>
      </c>
      <c r="U18" s="15">
        <f t="shared" si="3"/>
        <v>3.1706044864063636</v>
      </c>
      <c r="V18" s="15">
        <f t="shared" si="3"/>
        <v>3.2340165761344908</v>
      </c>
      <c r="W18" s="15">
        <f t="shared" si="3"/>
        <v>3.2986969076571806</v>
      </c>
      <c r="X18" s="15">
        <f t="shared" si="3"/>
        <v>3.3646708458103243</v>
      </c>
      <c r="Y18" s="15">
        <f t="shared" si="3"/>
        <v>3.431964262726531</v>
      </c>
      <c r="Z18" s="15">
        <f t="shared" si="3"/>
        <v>3.5006035479810618</v>
      </c>
      <c r="AA18" s="15">
        <f t="shared" si="3"/>
        <v>3.5706156189406832</v>
      </c>
      <c r="AB18" s="15">
        <f t="shared" si="3"/>
        <v>3.6420279313194968</v>
      </c>
      <c r="AC18" s="15">
        <f t="shared" si="3"/>
        <v>3.7148684899458866</v>
      </c>
      <c r="AD18" s="15">
        <f t="shared" si="3"/>
        <v>3.7891658597448044</v>
      </c>
      <c r="AE18" s="15">
        <f t="shared" si="3"/>
        <v>3.8649491769397004</v>
      </c>
      <c r="AF18" s="15">
        <f t="shared" si="3"/>
        <v>3.9422481604784947</v>
      </c>
      <c r="AG18" s="15">
        <f t="shared" si="3"/>
        <v>4.0210931236880647</v>
      </c>
      <c r="AH18" s="16">
        <f t="shared" si="3"/>
        <v>4.1015149861618259</v>
      </c>
    </row>
    <row r="19" spans="1:35" x14ac:dyDescent="0.25">
      <c r="H19" t="s">
        <v>25</v>
      </c>
      <c r="I19" s="1">
        <f>+I17*8.34</f>
        <v>1.7513999999999998</v>
      </c>
      <c r="J19" s="1">
        <f>I19*(1+(J13/100))</f>
        <v>1.7864279999999999</v>
      </c>
      <c r="K19" s="1">
        <f t="shared" ref="K19:AC19" si="4">+J19*(1+(K13/100))</f>
        <v>1.82215656</v>
      </c>
      <c r="L19" s="1">
        <f t="shared" si="4"/>
        <v>1.8585996912</v>
      </c>
      <c r="M19" s="1">
        <f t="shared" si="4"/>
        <v>1.8957716850240001</v>
      </c>
      <c r="N19" s="1">
        <f t="shared" si="4"/>
        <v>1.9336871187244802</v>
      </c>
      <c r="O19" s="1">
        <f t="shared" si="4"/>
        <v>1.9723608610989698</v>
      </c>
      <c r="P19" s="1">
        <f t="shared" si="4"/>
        <v>2.0118080783209491</v>
      </c>
      <c r="Q19" s="1">
        <f t="shared" si="4"/>
        <v>2.0520442398873682</v>
      </c>
      <c r="R19" s="1">
        <f t="shared" si="4"/>
        <v>2.0930851246851154</v>
      </c>
      <c r="S19" s="1">
        <f t="shared" si="4"/>
        <v>2.1349468271788177</v>
      </c>
      <c r="T19" s="1">
        <f t="shared" si="4"/>
        <v>2.1776457637223943</v>
      </c>
      <c r="U19" s="1">
        <f t="shared" si="4"/>
        <v>2.2211986789968421</v>
      </c>
      <c r="V19" s="1">
        <f t="shared" si="4"/>
        <v>2.2656226525767789</v>
      </c>
      <c r="W19" s="1">
        <f t="shared" si="4"/>
        <v>2.3109351056283143</v>
      </c>
      <c r="X19" s="1">
        <f t="shared" si="4"/>
        <v>2.3571538077408807</v>
      </c>
      <c r="Y19" s="1">
        <f t="shared" si="4"/>
        <v>2.4042968838956984</v>
      </c>
      <c r="Z19" s="1">
        <f t="shared" si="4"/>
        <v>2.4523828215736123</v>
      </c>
      <c r="AA19" s="1">
        <f t="shared" si="4"/>
        <v>2.5014304780050844</v>
      </c>
      <c r="AB19" s="1">
        <f t="shared" si="4"/>
        <v>2.5514590875651861</v>
      </c>
      <c r="AC19" s="1">
        <f t="shared" si="4"/>
        <v>2.6024882693164897</v>
      </c>
      <c r="AD19">
        <v>0</v>
      </c>
      <c r="AE19">
        <v>0</v>
      </c>
      <c r="AF19">
        <v>0</v>
      </c>
      <c r="AG19">
        <v>0</v>
      </c>
      <c r="AH19">
        <v>0</v>
      </c>
    </row>
    <row r="21" spans="1:35" ht="15.75" x14ac:dyDescent="0.25">
      <c r="A21" t="s">
        <v>85</v>
      </c>
      <c r="H21" t="s">
        <v>6</v>
      </c>
      <c r="I21" s="24">
        <v>0.24</v>
      </c>
      <c r="J21" s="17">
        <f t="shared" ref="J21:AH21" si="5">I21*(1+J12/100)</f>
        <v>0.24479999999999999</v>
      </c>
      <c r="K21" s="15">
        <f t="shared" si="5"/>
        <v>0.249696</v>
      </c>
      <c r="L21" s="15">
        <f t="shared" si="5"/>
        <v>0.25468992000000001</v>
      </c>
      <c r="M21" s="15">
        <f t="shared" si="5"/>
        <v>0.25978371840000003</v>
      </c>
      <c r="N21" s="15">
        <f t="shared" si="5"/>
        <v>0.26497939276800003</v>
      </c>
      <c r="O21" s="15">
        <f t="shared" si="5"/>
        <v>0.27027898062336003</v>
      </c>
      <c r="P21" s="15">
        <f t="shared" si="5"/>
        <v>0.27568456023582721</v>
      </c>
      <c r="Q21" s="15">
        <f t="shared" si="5"/>
        <v>0.28119825144054378</v>
      </c>
      <c r="R21" s="15">
        <f t="shared" si="5"/>
        <v>0.28682221646935468</v>
      </c>
      <c r="S21" s="15">
        <f t="shared" si="5"/>
        <v>0.29255866079874177</v>
      </c>
      <c r="T21" s="15">
        <f t="shared" si="5"/>
        <v>0.2984098340147166</v>
      </c>
      <c r="U21" s="15">
        <f t="shared" si="5"/>
        <v>0.30437803069501096</v>
      </c>
      <c r="V21" s="15">
        <f t="shared" si="5"/>
        <v>0.31046559130891116</v>
      </c>
      <c r="W21" s="15">
        <f t="shared" si="5"/>
        <v>0.31667490313508939</v>
      </c>
      <c r="X21" s="15">
        <f t="shared" si="5"/>
        <v>0.32300840119779117</v>
      </c>
      <c r="Y21" s="15">
        <f t="shared" si="5"/>
        <v>0.329468569221747</v>
      </c>
      <c r="Z21" s="15">
        <f t="shared" si="5"/>
        <v>0.33605794060618194</v>
      </c>
      <c r="AA21" s="15">
        <f t="shared" si="5"/>
        <v>0.34277909941830559</v>
      </c>
      <c r="AB21" s="15">
        <f t="shared" si="5"/>
        <v>0.3496346814066717</v>
      </c>
      <c r="AC21" s="15">
        <f t="shared" si="5"/>
        <v>0.35662737503480513</v>
      </c>
      <c r="AD21" s="15">
        <f t="shared" si="5"/>
        <v>0.36375992253550121</v>
      </c>
      <c r="AE21" s="15">
        <f t="shared" si="5"/>
        <v>0.37103512098621122</v>
      </c>
      <c r="AF21" s="15">
        <f t="shared" si="5"/>
        <v>0.37845582340593548</v>
      </c>
      <c r="AG21" s="15">
        <f t="shared" si="5"/>
        <v>0.38602493987405417</v>
      </c>
      <c r="AH21" s="16">
        <f t="shared" si="5"/>
        <v>0.39374543867153527</v>
      </c>
    </row>
    <row r="22" spans="1:35" x14ac:dyDescent="0.25">
      <c r="H22" t="s">
        <v>7</v>
      </c>
      <c r="I22">
        <v>0.187</v>
      </c>
      <c r="J22" s="1">
        <f>I22*(1+J13/100)</f>
        <v>0.19073999999999999</v>
      </c>
      <c r="K22" s="1">
        <f t="shared" ref="K22:AC22" si="6">+J22*(1+K13/100)</f>
        <v>0.1945548</v>
      </c>
      <c r="L22" s="1">
        <f t="shared" si="6"/>
        <v>0.19844589600000001</v>
      </c>
      <c r="M22" s="1">
        <f t="shared" si="6"/>
        <v>0.20241481392000002</v>
      </c>
      <c r="N22" s="1">
        <f t="shared" si="6"/>
        <v>0.20646311019840002</v>
      </c>
      <c r="O22" s="1">
        <f t="shared" si="6"/>
        <v>0.21059237240236803</v>
      </c>
      <c r="P22" s="1">
        <f t="shared" si="6"/>
        <v>0.2148042198504154</v>
      </c>
      <c r="Q22" s="1">
        <f t="shared" si="6"/>
        <v>0.21910030424742372</v>
      </c>
      <c r="R22" s="1">
        <f t="shared" si="6"/>
        <v>0.2234823103323722</v>
      </c>
      <c r="S22" s="1">
        <f t="shared" si="6"/>
        <v>0.22795195653901965</v>
      </c>
      <c r="T22" s="1">
        <f t="shared" si="6"/>
        <v>0.23251099566980005</v>
      </c>
      <c r="U22" s="1">
        <f t="shared" si="6"/>
        <v>0.23716121558319606</v>
      </c>
      <c r="V22" s="1">
        <f t="shared" si="6"/>
        <v>0.24190443989485999</v>
      </c>
      <c r="W22" s="1">
        <f t="shared" si="6"/>
        <v>0.2467425286927572</v>
      </c>
      <c r="X22" s="1">
        <f t="shared" si="6"/>
        <v>0.25167737926661232</v>
      </c>
      <c r="Y22" s="1">
        <f t="shared" si="6"/>
        <v>0.25671092685194458</v>
      </c>
      <c r="Z22" s="1">
        <f t="shared" si="6"/>
        <v>0.26184514538898346</v>
      </c>
      <c r="AA22" s="1">
        <f t="shared" si="6"/>
        <v>0.26708204829676313</v>
      </c>
      <c r="AB22" s="1">
        <f t="shared" si="6"/>
        <v>0.27242368926269839</v>
      </c>
      <c r="AC22" s="1">
        <f t="shared" si="6"/>
        <v>0.27787216304795237</v>
      </c>
      <c r="AD22">
        <v>0</v>
      </c>
      <c r="AE22">
        <v>0</v>
      </c>
      <c r="AF22">
        <v>0</v>
      </c>
      <c r="AG22">
        <v>0</v>
      </c>
      <c r="AH22">
        <v>0</v>
      </c>
    </row>
    <row r="23" spans="1:35" ht="15.75" x14ac:dyDescent="0.25">
      <c r="H23" t="s">
        <v>5</v>
      </c>
      <c r="I23" s="24">
        <v>2</v>
      </c>
      <c r="J23" s="17">
        <f t="shared" ref="J23:AH23" si="7">I23*(1+J12/100)</f>
        <v>2.04</v>
      </c>
      <c r="K23" s="15">
        <f t="shared" si="7"/>
        <v>2.0808</v>
      </c>
      <c r="L23" s="15">
        <f t="shared" si="7"/>
        <v>2.1224159999999999</v>
      </c>
      <c r="M23" s="15">
        <f t="shared" si="7"/>
        <v>2.16486432</v>
      </c>
      <c r="N23" s="15">
        <f t="shared" si="7"/>
        <v>2.2081616064</v>
      </c>
      <c r="O23" s="15">
        <f t="shared" si="7"/>
        <v>2.2523248385280001</v>
      </c>
      <c r="P23" s="15">
        <f t="shared" si="7"/>
        <v>2.2973713352985601</v>
      </c>
      <c r="Q23" s="15">
        <f t="shared" si="7"/>
        <v>2.3433187620045315</v>
      </c>
      <c r="R23" s="15">
        <f t="shared" si="7"/>
        <v>2.3901851372446221</v>
      </c>
      <c r="S23" s="15">
        <f t="shared" si="7"/>
        <v>2.4379888399895147</v>
      </c>
      <c r="T23" s="15">
        <f t="shared" si="7"/>
        <v>2.4867486167893049</v>
      </c>
      <c r="U23" s="15">
        <f t="shared" si="7"/>
        <v>2.536483589125091</v>
      </c>
      <c r="V23" s="15">
        <f t="shared" si="7"/>
        <v>2.5872132609075926</v>
      </c>
      <c r="W23" s="15">
        <f t="shared" si="7"/>
        <v>2.6389575261257447</v>
      </c>
      <c r="X23" s="15">
        <f t="shared" si="7"/>
        <v>2.6917366766482598</v>
      </c>
      <c r="Y23" s="15">
        <f t="shared" si="7"/>
        <v>2.745571410181225</v>
      </c>
      <c r="Z23" s="15">
        <f t="shared" si="7"/>
        <v>2.8004828383848497</v>
      </c>
      <c r="AA23" s="15">
        <f t="shared" si="7"/>
        <v>2.8564924951525468</v>
      </c>
      <c r="AB23" s="15">
        <f t="shared" si="7"/>
        <v>2.9136223450555976</v>
      </c>
      <c r="AC23" s="15">
        <f t="shared" si="7"/>
        <v>2.9718947919567098</v>
      </c>
      <c r="AD23" s="15">
        <f t="shared" si="7"/>
        <v>3.0313326877958442</v>
      </c>
      <c r="AE23" s="15">
        <f t="shared" si="7"/>
        <v>3.0919593415517612</v>
      </c>
      <c r="AF23" s="15">
        <f t="shared" si="7"/>
        <v>3.1537985283827963</v>
      </c>
      <c r="AG23" s="15">
        <f t="shared" si="7"/>
        <v>3.2168744989504523</v>
      </c>
      <c r="AH23" s="16">
        <f t="shared" si="7"/>
        <v>3.2812119889294613</v>
      </c>
    </row>
    <row r="24" spans="1:35" x14ac:dyDescent="0.25">
      <c r="H24" t="s">
        <v>25</v>
      </c>
      <c r="I24" s="1">
        <f>+I22*8.34</f>
        <v>1.55958</v>
      </c>
      <c r="J24" s="1">
        <f>I24*(1+J13/100)</f>
        <v>1.5907716000000001</v>
      </c>
      <c r="K24" s="1">
        <f t="shared" ref="K24:AC24" si="8">+J24*(1+K13/100)</f>
        <v>1.622587032</v>
      </c>
      <c r="L24" s="1">
        <f t="shared" si="8"/>
        <v>1.65503877264</v>
      </c>
      <c r="M24" s="1">
        <f t="shared" si="8"/>
        <v>1.6881395480928001</v>
      </c>
      <c r="N24" s="1">
        <f t="shared" si="8"/>
        <v>1.7219023390546562</v>
      </c>
      <c r="O24" s="1">
        <f t="shared" si="8"/>
        <v>1.7563403858357494</v>
      </c>
      <c r="P24" s="1">
        <f t="shared" si="8"/>
        <v>1.7914671935524644</v>
      </c>
      <c r="Q24" s="1">
        <f t="shared" si="8"/>
        <v>1.8272965374235137</v>
      </c>
      <c r="R24" s="1">
        <f t="shared" si="8"/>
        <v>1.8638424681719841</v>
      </c>
      <c r="S24" s="1">
        <f t="shared" si="8"/>
        <v>1.9011193175354237</v>
      </c>
      <c r="T24" s="1">
        <f t="shared" si="8"/>
        <v>1.9391417038861323</v>
      </c>
      <c r="U24" s="1">
        <f t="shared" si="8"/>
        <v>1.977924537963855</v>
      </c>
      <c r="V24" s="1">
        <f t="shared" si="8"/>
        <v>2.0174830287231322</v>
      </c>
      <c r="W24" s="1">
        <f t="shared" si="8"/>
        <v>2.0578326892975949</v>
      </c>
      <c r="X24" s="1">
        <f t="shared" si="8"/>
        <v>2.0989893430835469</v>
      </c>
      <c r="Y24" s="1">
        <f t="shared" si="8"/>
        <v>2.1409691299452178</v>
      </c>
      <c r="Z24" s="1">
        <f t="shared" si="8"/>
        <v>2.1837885125441221</v>
      </c>
      <c r="AA24" s="1">
        <f t="shared" si="8"/>
        <v>2.2274642827950046</v>
      </c>
      <c r="AB24" s="1">
        <f t="shared" si="8"/>
        <v>2.2720135684509049</v>
      </c>
      <c r="AC24" s="1">
        <f t="shared" si="8"/>
        <v>2.3174538398199229</v>
      </c>
      <c r="AD24">
        <v>0</v>
      </c>
      <c r="AE24">
        <v>0</v>
      </c>
      <c r="AF24">
        <v>0</v>
      </c>
      <c r="AG24">
        <v>0</v>
      </c>
      <c r="AH24">
        <v>0</v>
      </c>
    </row>
    <row r="26" spans="1:35" ht="15.75" x14ac:dyDescent="0.25">
      <c r="A26" t="s">
        <v>85</v>
      </c>
      <c r="H26" t="s">
        <v>6</v>
      </c>
      <c r="I26" s="24">
        <v>0.3</v>
      </c>
      <c r="J26" s="17">
        <f t="shared" ref="J26:AH26" si="9">I26*(1+J12/100)</f>
        <v>0.30599999999999999</v>
      </c>
      <c r="K26" s="15">
        <f t="shared" si="9"/>
        <v>0.31212000000000001</v>
      </c>
      <c r="L26" s="15">
        <f t="shared" si="9"/>
        <v>0.31836239999999999</v>
      </c>
      <c r="M26" s="15">
        <f t="shared" si="9"/>
        <v>0.32472964799999998</v>
      </c>
      <c r="N26" s="15">
        <f t="shared" si="9"/>
        <v>0.33122424095999997</v>
      </c>
      <c r="O26" s="15">
        <f t="shared" si="9"/>
        <v>0.3378487257792</v>
      </c>
      <c r="P26" s="15">
        <f t="shared" si="9"/>
        <v>0.34460570029478399</v>
      </c>
      <c r="Q26" s="15">
        <f t="shared" si="9"/>
        <v>0.35149781430067967</v>
      </c>
      <c r="R26" s="15">
        <f t="shared" si="9"/>
        <v>0.35852777058669327</v>
      </c>
      <c r="S26" s="15">
        <f t="shared" si="9"/>
        <v>0.36569832599842717</v>
      </c>
      <c r="T26" s="15">
        <f t="shared" si="9"/>
        <v>0.37301229251839574</v>
      </c>
      <c r="U26" s="15">
        <f t="shared" si="9"/>
        <v>0.38047253836876366</v>
      </c>
      <c r="V26" s="15">
        <f t="shared" si="9"/>
        <v>0.38808198913613895</v>
      </c>
      <c r="W26" s="15">
        <f t="shared" si="9"/>
        <v>0.39584362891886171</v>
      </c>
      <c r="X26" s="15">
        <f t="shared" si="9"/>
        <v>0.40376050149723897</v>
      </c>
      <c r="Y26" s="15">
        <f t="shared" si="9"/>
        <v>0.41183571152718373</v>
      </c>
      <c r="Z26" s="15">
        <f t="shared" si="9"/>
        <v>0.42007242575772741</v>
      </c>
      <c r="AA26" s="15">
        <f t="shared" si="9"/>
        <v>0.42847387427288197</v>
      </c>
      <c r="AB26" s="15">
        <f t="shared" si="9"/>
        <v>0.43704335175833964</v>
      </c>
      <c r="AC26" s="15">
        <f t="shared" si="9"/>
        <v>0.44578421879350644</v>
      </c>
      <c r="AD26" s="15">
        <f t="shared" si="9"/>
        <v>0.45469990316937658</v>
      </c>
      <c r="AE26" s="15">
        <f t="shared" si="9"/>
        <v>0.46379390123276415</v>
      </c>
      <c r="AF26" s="15">
        <f t="shared" si="9"/>
        <v>0.47306977925741944</v>
      </c>
      <c r="AG26" s="15">
        <f t="shared" si="9"/>
        <v>0.48253117484256786</v>
      </c>
      <c r="AH26" s="16">
        <f t="shared" si="9"/>
        <v>0.49218179833941922</v>
      </c>
    </row>
    <row r="27" spans="1:35" x14ac:dyDescent="0.25">
      <c r="H27" t="s">
        <v>7</v>
      </c>
      <c r="I27">
        <v>0.187</v>
      </c>
      <c r="J27" s="1">
        <f>I27*(1+J13/100)</f>
        <v>0.19073999999999999</v>
      </c>
      <c r="K27" s="1">
        <f t="shared" ref="K27:AC27" si="10">+J27*(1+K13/100)</f>
        <v>0.1945548</v>
      </c>
      <c r="L27" s="1">
        <f t="shared" si="10"/>
        <v>0.19844589600000001</v>
      </c>
      <c r="M27" s="1">
        <f t="shared" si="10"/>
        <v>0.20241481392000002</v>
      </c>
      <c r="N27" s="1">
        <f t="shared" si="10"/>
        <v>0.20646311019840002</v>
      </c>
      <c r="O27" s="1">
        <f t="shared" si="10"/>
        <v>0.21059237240236803</v>
      </c>
      <c r="P27" s="1">
        <f t="shared" si="10"/>
        <v>0.2148042198504154</v>
      </c>
      <c r="Q27" s="1">
        <f t="shared" si="10"/>
        <v>0.21910030424742372</v>
      </c>
      <c r="R27" s="1">
        <f t="shared" si="10"/>
        <v>0.2234823103323722</v>
      </c>
      <c r="S27" s="1">
        <f t="shared" si="10"/>
        <v>0.22795195653901965</v>
      </c>
      <c r="T27" s="1">
        <f t="shared" si="10"/>
        <v>0.23251099566980005</v>
      </c>
      <c r="U27" s="1">
        <f t="shared" si="10"/>
        <v>0.23716121558319606</v>
      </c>
      <c r="V27" s="1">
        <f t="shared" si="10"/>
        <v>0.24190443989485999</v>
      </c>
      <c r="W27" s="1">
        <f t="shared" si="10"/>
        <v>0.2467425286927572</v>
      </c>
      <c r="X27" s="1">
        <f t="shared" si="10"/>
        <v>0.25167737926661232</v>
      </c>
      <c r="Y27" s="1">
        <f t="shared" si="10"/>
        <v>0.25671092685194458</v>
      </c>
      <c r="Z27" s="1">
        <f t="shared" si="10"/>
        <v>0.26184514538898346</v>
      </c>
      <c r="AA27" s="1">
        <f t="shared" si="10"/>
        <v>0.26708204829676313</v>
      </c>
      <c r="AB27" s="1">
        <f t="shared" si="10"/>
        <v>0.27242368926269839</v>
      </c>
      <c r="AC27" s="1">
        <f t="shared" si="10"/>
        <v>0.27787216304795237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</row>
    <row r="28" spans="1:35" ht="15.75" x14ac:dyDescent="0.25">
      <c r="H28" t="s">
        <v>5</v>
      </c>
      <c r="I28" s="24">
        <v>2.5</v>
      </c>
      <c r="J28" s="17">
        <f t="shared" ref="J28:AH28" si="11">I28*(1+J12/100)</f>
        <v>2.5499999999999998</v>
      </c>
      <c r="K28" s="15">
        <f t="shared" si="11"/>
        <v>2.601</v>
      </c>
      <c r="L28" s="15">
        <f t="shared" si="11"/>
        <v>2.6530200000000002</v>
      </c>
      <c r="M28" s="15">
        <f t="shared" si="11"/>
        <v>2.7060804000000003</v>
      </c>
      <c r="N28" s="15">
        <f t="shared" si="11"/>
        <v>2.7602020080000003</v>
      </c>
      <c r="O28" s="15">
        <f t="shared" si="11"/>
        <v>2.8154060481600003</v>
      </c>
      <c r="P28" s="15">
        <f t="shared" si="11"/>
        <v>2.8717141691232002</v>
      </c>
      <c r="Q28" s="15">
        <f t="shared" si="11"/>
        <v>2.9291484525056641</v>
      </c>
      <c r="R28" s="15">
        <f t="shared" si="11"/>
        <v>2.9877314215557775</v>
      </c>
      <c r="S28" s="15">
        <f t="shared" si="11"/>
        <v>3.047486049986893</v>
      </c>
      <c r="T28" s="15">
        <f t="shared" si="11"/>
        <v>3.108435770986631</v>
      </c>
      <c r="U28" s="15">
        <f t="shared" si="11"/>
        <v>3.1706044864063636</v>
      </c>
      <c r="V28" s="15">
        <f t="shared" si="11"/>
        <v>3.2340165761344908</v>
      </c>
      <c r="W28" s="15">
        <f t="shared" si="11"/>
        <v>3.2986969076571806</v>
      </c>
      <c r="X28" s="15">
        <f t="shared" si="11"/>
        <v>3.3646708458103243</v>
      </c>
      <c r="Y28" s="15">
        <f t="shared" si="11"/>
        <v>3.431964262726531</v>
      </c>
      <c r="Z28" s="15">
        <f t="shared" si="11"/>
        <v>3.5006035479810618</v>
      </c>
      <c r="AA28" s="15">
        <f t="shared" si="11"/>
        <v>3.5706156189406832</v>
      </c>
      <c r="AB28" s="15">
        <f t="shared" si="11"/>
        <v>3.6420279313194968</v>
      </c>
      <c r="AC28" s="15">
        <f t="shared" si="11"/>
        <v>3.7148684899458866</v>
      </c>
      <c r="AD28" s="15">
        <f t="shared" si="11"/>
        <v>3.7891658597448044</v>
      </c>
      <c r="AE28" s="15">
        <f t="shared" si="11"/>
        <v>3.8649491769397004</v>
      </c>
      <c r="AF28" s="15">
        <f t="shared" si="11"/>
        <v>3.9422481604784947</v>
      </c>
      <c r="AG28" s="15">
        <f t="shared" si="11"/>
        <v>4.0210931236880647</v>
      </c>
      <c r="AH28" s="16">
        <f t="shared" si="11"/>
        <v>4.1015149861618259</v>
      </c>
    </row>
    <row r="29" spans="1:35" x14ac:dyDescent="0.25">
      <c r="H29" t="s">
        <v>25</v>
      </c>
      <c r="I29" s="1">
        <f>+I27*8.34</f>
        <v>1.55958</v>
      </c>
      <c r="J29" s="1">
        <f>I29*(1+J13/100)</f>
        <v>1.5907716000000001</v>
      </c>
      <c r="K29" s="1">
        <f t="shared" ref="K29:AC29" si="12">+J29*(1+K13/100)</f>
        <v>1.622587032</v>
      </c>
      <c r="L29" s="1">
        <f t="shared" si="12"/>
        <v>1.65503877264</v>
      </c>
      <c r="M29" s="1">
        <f t="shared" si="12"/>
        <v>1.6881395480928001</v>
      </c>
      <c r="N29" s="1">
        <f t="shared" si="12"/>
        <v>1.7219023390546562</v>
      </c>
      <c r="O29" s="1">
        <f t="shared" si="12"/>
        <v>1.7563403858357494</v>
      </c>
      <c r="P29" s="1">
        <f t="shared" si="12"/>
        <v>1.7914671935524644</v>
      </c>
      <c r="Q29" s="1">
        <f t="shared" si="12"/>
        <v>1.8272965374235137</v>
      </c>
      <c r="R29" s="1">
        <f t="shared" si="12"/>
        <v>1.8638424681719841</v>
      </c>
      <c r="S29" s="1">
        <f t="shared" si="12"/>
        <v>1.9011193175354237</v>
      </c>
      <c r="T29" s="1">
        <f t="shared" si="12"/>
        <v>1.9391417038861323</v>
      </c>
      <c r="U29" s="1">
        <f t="shared" si="12"/>
        <v>1.977924537963855</v>
      </c>
      <c r="V29" s="1">
        <f t="shared" si="12"/>
        <v>2.0174830287231322</v>
      </c>
      <c r="W29" s="1">
        <f t="shared" si="12"/>
        <v>2.0578326892975949</v>
      </c>
      <c r="X29" s="1">
        <f t="shared" si="12"/>
        <v>2.0989893430835469</v>
      </c>
      <c r="Y29" s="1">
        <f t="shared" si="12"/>
        <v>2.1409691299452178</v>
      </c>
      <c r="Z29" s="1">
        <f t="shared" si="12"/>
        <v>2.1837885125441221</v>
      </c>
      <c r="AA29" s="1">
        <f t="shared" si="12"/>
        <v>2.2274642827950046</v>
      </c>
      <c r="AB29" s="1">
        <f t="shared" si="12"/>
        <v>2.2720135684509049</v>
      </c>
      <c r="AC29" s="1">
        <f t="shared" si="12"/>
        <v>2.3174538398199229</v>
      </c>
      <c r="AD29">
        <v>0</v>
      </c>
      <c r="AE29">
        <v>0</v>
      </c>
      <c r="AF29">
        <v>0</v>
      </c>
      <c r="AG29">
        <v>0</v>
      </c>
      <c r="AH29">
        <v>0</v>
      </c>
    </row>
    <row r="32" spans="1:35" ht="15.75" x14ac:dyDescent="0.25">
      <c r="A32" t="s">
        <v>89</v>
      </c>
      <c r="H32" t="s">
        <v>6</v>
      </c>
      <c r="I32" s="24">
        <v>1.45</v>
      </c>
      <c r="J32" s="17">
        <f t="shared" ref="J32:AH32" si="13">I32*(1+J12/100)</f>
        <v>1.4789999999999999</v>
      </c>
      <c r="K32" s="15">
        <f t="shared" si="13"/>
        <v>1.5085799999999998</v>
      </c>
      <c r="L32" s="15">
        <f t="shared" si="13"/>
        <v>1.5387515999999999</v>
      </c>
      <c r="M32" s="15">
        <f t="shared" si="13"/>
        <v>1.5695266319999999</v>
      </c>
      <c r="N32" s="15">
        <f t="shared" si="13"/>
        <v>1.60091716464</v>
      </c>
      <c r="O32" s="15">
        <f t="shared" si="13"/>
        <v>1.6329355079328001</v>
      </c>
      <c r="P32" s="15">
        <f t="shared" si="13"/>
        <v>1.665594218091456</v>
      </c>
      <c r="Q32" s="15">
        <f t="shared" si="13"/>
        <v>1.6989061024532852</v>
      </c>
      <c r="R32" s="15">
        <f t="shared" si="13"/>
        <v>1.732884224502351</v>
      </c>
      <c r="S32" s="15">
        <f t="shared" si="13"/>
        <v>1.767541908992398</v>
      </c>
      <c r="T32" s="15">
        <f t="shared" si="13"/>
        <v>1.802892747172246</v>
      </c>
      <c r="U32" s="15">
        <f t="shared" si="13"/>
        <v>1.8389506021156909</v>
      </c>
      <c r="V32" s="15">
        <f t="shared" si="13"/>
        <v>1.8757296141580049</v>
      </c>
      <c r="W32" s="15">
        <f t="shared" si="13"/>
        <v>1.913244206441165</v>
      </c>
      <c r="X32" s="15">
        <f t="shared" si="13"/>
        <v>1.9515090905699883</v>
      </c>
      <c r="Y32" s="15">
        <f t="shared" si="13"/>
        <v>1.9905392723813882</v>
      </c>
      <c r="Z32" s="15">
        <f t="shared" si="13"/>
        <v>2.0303500578290161</v>
      </c>
      <c r="AA32" s="15">
        <f t="shared" si="13"/>
        <v>2.0709570589855963</v>
      </c>
      <c r="AB32" s="15">
        <f t="shared" si="13"/>
        <v>2.1123762001653081</v>
      </c>
      <c r="AC32" s="15">
        <f t="shared" si="13"/>
        <v>2.1546237241686144</v>
      </c>
      <c r="AD32" s="15">
        <f t="shared" si="13"/>
        <v>2.1977161986519866</v>
      </c>
      <c r="AE32" s="15">
        <f t="shared" si="13"/>
        <v>2.2416705226250264</v>
      </c>
      <c r="AF32" s="15">
        <f t="shared" si="13"/>
        <v>2.286503933077527</v>
      </c>
      <c r="AG32" s="15">
        <f t="shared" si="13"/>
        <v>2.3322340117390774</v>
      </c>
      <c r="AH32" s="16">
        <f t="shared" si="13"/>
        <v>2.3788786919738589</v>
      </c>
    </row>
    <row r="33" spans="1:34" x14ac:dyDescent="0.25">
      <c r="H33" t="s">
        <v>7</v>
      </c>
      <c r="I33">
        <v>0.28199999999999997</v>
      </c>
      <c r="J33" s="1">
        <f>I33*(1+J13/100)</f>
        <v>0.28763999999999995</v>
      </c>
      <c r="K33" s="1">
        <f t="shared" ref="K33:AC33" si="14">+J33*(1+K13/100)</f>
        <v>0.29339279999999995</v>
      </c>
      <c r="L33" s="1">
        <f t="shared" si="14"/>
        <v>0.29926065599999996</v>
      </c>
      <c r="M33" s="1">
        <f t="shared" si="14"/>
        <v>0.30524586911999996</v>
      </c>
      <c r="N33" s="1">
        <f t="shared" si="14"/>
        <v>0.31135078650239995</v>
      </c>
      <c r="O33" s="1">
        <f t="shared" si="14"/>
        <v>0.31757780223244797</v>
      </c>
      <c r="P33" s="1">
        <f t="shared" si="14"/>
        <v>0.32392935827709696</v>
      </c>
      <c r="Q33" s="1">
        <f t="shared" si="14"/>
        <v>0.33040794544263891</v>
      </c>
      <c r="R33" s="1">
        <f t="shared" si="14"/>
        <v>0.33701610435149171</v>
      </c>
      <c r="S33" s="1">
        <f t="shared" si="14"/>
        <v>0.34375642643852156</v>
      </c>
      <c r="T33" s="1">
        <f t="shared" si="14"/>
        <v>0.35063155496729198</v>
      </c>
      <c r="U33" s="1">
        <f t="shared" si="14"/>
        <v>0.35764418606663784</v>
      </c>
      <c r="V33" s="1">
        <f t="shared" si="14"/>
        <v>0.36479706978797061</v>
      </c>
      <c r="W33" s="1">
        <f t="shared" si="14"/>
        <v>0.37209301118373</v>
      </c>
      <c r="X33" s="1">
        <f t="shared" si="14"/>
        <v>0.37953487140740461</v>
      </c>
      <c r="Y33" s="1">
        <f t="shared" si="14"/>
        <v>0.38712556883555271</v>
      </c>
      <c r="Z33" s="1">
        <f t="shared" si="14"/>
        <v>0.39486808021226377</v>
      </c>
      <c r="AA33" s="1">
        <f t="shared" si="14"/>
        <v>0.40276544181650903</v>
      </c>
      <c r="AB33" s="1">
        <f t="shared" si="14"/>
        <v>0.41082075065283924</v>
      </c>
      <c r="AC33" s="1">
        <f t="shared" si="14"/>
        <v>0.41903716566589605</v>
      </c>
      <c r="AD33">
        <v>0</v>
      </c>
      <c r="AE33">
        <v>0</v>
      </c>
      <c r="AF33">
        <v>0</v>
      </c>
      <c r="AG33">
        <v>0</v>
      </c>
      <c r="AH33">
        <v>0</v>
      </c>
    </row>
    <row r="34" spans="1:34" ht="15.75" x14ac:dyDescent="0.25">
      <c r="H34" t="s">
        <v>5</v>
      </c>
      <c r="I34" s="24">
        <v>12.09</v>
      </c>
      <c r="J34" s="17">
        <f t="shared" ref="J34:AH34" si="15">I34*(1+J12/100)</f>
        <v>12.331799999999999</v>
      </c>
      <c r="K34" s="15">
        <f t="shared" si="15"/>
        <v>12.578436</v>
      </c>
      <c r="L34" s="15">
        <f t="shared" si="15"/>
        <v>12.83000472</v>
      </c>
      <c r="M34" s="15">
        <f t="shared" si="15"/>
        <v>13.086604814399999</v>
      </c>
      <c r="N34" s="15">
        <f t="shared" si="15"/>
        <v>13.348336910687999</v>
      </c>
      <c r="O34" s="15">
        <f t="shared" si="15"/>
        <v>13.61530364890176</v>
      </c>
      <c r="P34" s="15">
        <f t="shared" si="15"/>
        <v>13.887609721879794</v>
      </c>
      <c r="Q34" s="15">
        <f t="shared" si="15"/>
        <v>14.165361916317391</v>
      </c>
      <c r="R34" s="15">
        <f t="shared" si="15"/>
        <v>14.448669154643738</v>
      </c>
      <c r="S34" s="15">
        <f t="shared" si="15"/>
        <v>14.737642537736614</v>
      </c>
      <c r="T34" s="15">
        <f t="shared" si="15"/>
        <v>15.032395388491347</v>
      </c>
      <c r="U34" s="15">
        <f t="shared" si="15"/>
        <v>15.333043296261174</v>
      </c>
      <c r="V34" s="15">
        <f t="shared" si="15"/>
        <v>15.639704162186398</v>
      </c>
      <c r="W34" s="15">
        <f t="shared" si="15"/>
        <v>15.952498245430126</v>
      </c>
      <c r="X34" s="15">
        <f t="shared" si="15"/>
        <v>16.271548210338729</v>
      </c>
      <c r="Y34" s="15">
        <f t="shared" si="15"/>
        <v>16.596979174545503</v>
      </c>
      <c r="Z34" s="15">
        <f t="shared" si="15"/>
        <v>16.928918758036414</v>
      </c>
      <c r="AA34" s="15">
        <f t="shared" si="15"/>
        <v>17.267497133197143</v>
      </c>
      <c r="AB34" s="15">
        <f t="shared" si="15"/>
        <v>17.612847075861087</v>
      </c>
      <c r="AC34" s="15">
        <f t="shared" si="15"/>
        <v>17.965104017378309</v>
      </c>
      <c r="AD34" s="15">
        <f t="shared" si="15"/>
        <v>18.324406097725877</v>
      </c>
      <c r="AE34" s="15">
        <f t="shared" si="15"/>
        <v>18.690894219680395</v>
      </c>
      <c r="AF34" s="15">
        <f t="shared" si="15"/>
        <v>19.064712104074005</v>
      </c>
      <c r="AG34" s="15">
        <f t="shared" si="15"/>
        <v>19.446006346155485</v>
      </c>
      <c r="AH34" s="16">
        <f t="shared" si="15"/>
        <v>19.834926473078596</v>
      </c>
    </row>
    <row r="35" spans="1:34" x14ac:dyDescent="0.25">
      <c r="H35" t="s">
        <v>25</v>
      </c>
      <c r="I35" s="1">
        <f>+I33*8.34</f>
        <v>2.3518799999999995</v>
      </c>
      <c r="J35" s="1">
        <f>I35*(1+J13/100)</f>
        <v>2.3989175999999994</v>
      </c>
      <c r="K35" s="1">
        <f t="shared" ref="K35:AC35" si="16">+J35*(1+K13/100)</f>
        <v>2.4468959519999993</v>
      </c>
      <c r="L35" s="1">
        <f t="shared" si="16"/>
        <v>2.4958338710399994</v>
      </c>
      <c r="M35" s="1">
        <f t="shared" si="16"/>
        <v>2.5457505484607994</v>
      </c>
      <c r="N35" s="1">
        <f t="shared" si="16"/>
        <v>2.5966655594300154</v>
      </c>
      <c r="O35" s="1">
        <f t="shared" si="16"/>
        <v>2.6485988706186157</v>
      </c>
      <c r="P35" s="1">
        <f t="shared" si="16"/>
        <v>2.7015708480309879</v>
      </c>
      <c r="Q35" s="1">
        <f t="shared" si="16"/>
        <v>2.7556022649916079</v>
      </c>
      <c r="R35" s="1">
        <f t="shared" si="16"/>
        <v>2.81071431029144</v>
      </c>
      <c r="S35" s="1">
        <f t="shared" si="16"/>
        <v>2.8669285964972691</v>
      </c>
      <c r="T35" s="1">
        <f t="shared" si="16"/>
        <v>2.9242671684272143</v>
      </c>
      <c r="U35" s="1">
        <f t="shared" si="16"/>
        <v>2.9827525117957587</v>
      </c>
      <c r="V35" s="1">
        <f t="shared" si="16"/>
        <v>3.042407562031674</v>
      </c>
      <c r="W35" s="1">
        <f t="shared" si="16"/>
        <v>3.1032557132723073</v>
      </c>
      <c r="X35" s="1">
        <f t="shared" si="16"/>
        <v>3.1653208275377533</v>
      </c>
      <c r="Y35" s="1">
        <f t="shared" si="16"/>
        <v>3.2286272440885084</v>
      </c>
      <c r="Z35" s="1">
        <f t="shared" si="16"/>
        <v>3.2931997889702789</v>
      </c>
      <c r="AA35" s="1">
        <f t="shared" si="16"/>
        <v>3.3590637847496847</v>
      </c>
      <c r="AB35" s="1">
        <f t="shared" si="16"/>
        <v>3.4262450604446784</v>
      </c>
      <c r="AC35" s="1">
        <f t="shared" si="16"/>
        <v>3.4947699616535721</v>
      </c>
      <c r="AD35">
        <v>0</v>
      </c>
      <c r="AE35">
        <v>0</v>
      </c>
      <c r="AF35">
        <v>0</v>
      </c>
      <c r="AG35">
        <v>0</v>
      </c>
      <c r="AH35">
        <v>0</v>
      </c>
    </row>
    <row r="38" spans="1:34" s="25" customFormat="1" x14ac:dyDescent="0.25">
      <c r="A38" s="25" t="s">
        <v>97</v>
      </c>
      <c r="H38" s="25" t="s">
        <v>6</v>
      </c>
      <c r="I38" s="52">
        <f t="shared" ref="I38:AH38" si="17">+I16+I21+I26+I32</f>
        <v>2.29</v>
      </c>
      <c r="J38" s="53">
        <f t="shared" si="17"/>
        <v>2.3357999999999999</v>
      </c>
      <c r="K38" s="53">
        <f t="shared" si="17"/>
        <v>2.3825159999999999</v>
      </c>
      <c r="L38" s="53">
        <f t="shared" si="17"/>
        <v>2.4301663199999997</v>
      </c>
      <c r="M38" s="53">
        <f t="shared" si="17"/>
        <v>2.4787696464</v>
      </c>
      <c r="N38" s="53">
        <f t="shared" si="17"/>
        <v>2.5283450393280003</v>
      </c>
      <c r="O38" s="53">
        <f t="shared" si="17"/>
        <v>2.5789119401145602</v>
      </c>
      <c r="P38" s="53">
        <f t="shared" si="17"/>
        <v>2.6304901789168511</v>
      </c>
      <c r="Q38" s="53">
        <f t="shared" si="17"/>
        <v>2.6830999824951887</v>
      </c>
      <c r="R38" s="53">
        <f t="shared" si="17"/>
        <v>2.7367619821450919</v>
      </c>
      <c r="S38" s="53">
        <f t="shared" si="17"/>
        <v>2.7914972217879939</v>
      </c>
      <c r="T38" s="53">
        <f t="shared" si="17"/>
        <v>2.8473271662237538</v>
      </c>
      <c r="U38" s="53">
        <f t="shared" si="17"/>
        <v>2.9042737095482289</v>
      </c>
      <c r="V38" s="53">
        <f t="shared" si="17"/>
        <v>2.9623591837391938</v>
      </c>
      <c r="W38" s="53">
        <f t="shared" si="17"/>
        <v>3.0216063674139777</v>
      </c>
      <c r="X38" s="53">
        <f t="shared" si="17"/>
        <v>3.0820384947622577</v>
      </c>
      <c r="Y38" s="53">
        <f t="shared" si="17"/>
        <v>3.1436792646575027</v>
      </c>
      <c r="Z38" s="53">
        <f t="shared" si="17"/>
        <v>3.2065528499506528</v>
      </c>
      <c r="AA38" s="53">
        <f t="shared" si="17"/>
        <v>3.2706839069496656</v>
      </c>
      <c r="AB38" s="53">
        <f t="shared" si="17"/>
        <v>3.3360975850886589</v>
      </c>
      <c r="AC38" s="53">
        <f t="shared" si="17"/>
        <v>3.4028195367904326</v>
      </c>
      <c r="AD38" s="53">
        <f t="shared" si="17"/>
        <v>3.4708759275262411</v>
      </c>
      <c r="AE38" s="53">
        <f t="shared" si="17"/>
        <v>3.5402934460767659</v>
      </c>
      <c r="AF38" s="53">
        <f t="shared" si="17"/>
        <v>3.6110993149983015</v>
      </c>
      <c r="AG38" s="53">
        <f t="shared" si="17"/>
        <v>3.6833213012982675</v>
      </c>
      <c r="AH38" s="54">
        <f t="shared" si="17"/>
        <v>3.7569877273242325</v>
      </c>
    </row>
    <row r="39" spans="1:34" x14ac:dyDescent="0.25">
      <c r="H39" t="s">
        <v>7</v>
      </c>
      <c r="I39" s="49">
        <f t="shared" ref="I39:AH39" si="18">+I17+I22+I27+I33</f>
        <v>0.8660000000000001</v>
      </c>
      <c r="J39" s="49">
        <f t="shared" si="18"/>
        <v>0.88331999999999988</v>
      </c>
      <c r="K39" s="49">
        <f t="shared" si="18"/>
        <v>0.90098640000000008</v>
      </c>
      <c r="L39" s="49">
        <f t="shared" si="18"/>
        <v>0.91900612799999992</v>
      </c>
      <c r="M39" s="49">
        <f t="shared" si="18"/>
        <v>0.93738625056000002</v>
      </c>
      <c r="N39" s="49">
        <f t="shared" si="18"/>
        <v>0.95613397557119995</v>
      </c>
      <c r="O39" s="49">
        <f t="shared" si="18"/>
        <v>0.97525665508262405</v>
      </c>
      <c r="P39" s="49">
        <f t="shared" si="18"/>
        <v>0.99476178818427652</v>
      </c>
      <c r="Q39" s="49">
        <f t="shared" si="18"/>
        <v>1.0146570239479622</v>
      </c>
      <c r="R39" s="49">
        <f t="shared" si="18"/>
        <v>1.0349501644269214</v>
      </c>
      <c r="S39" s="49">
        <f t="shared" si="18"/>
        <v>1.05564916771546</v>
      </c>
      <c r="T39" s="49">
        <f t="shared" si="18"/>
        <v>1.0767621510697691</v>
      </c>
      <c r="U39" s="49">
        <f t="shared" si="18"/>
        <v>1.0982973940911647</v>
      </c>
      <c r="V39" s="49">
        <f t="shared" si="18"/>
        <v>1.1202633419729879</v>
      </c>
      <c r="W39" s="49">
        <f t="shared" si="18"/>
        <v>1.1426686088124476</v>
      </c>
      <c r="X39" s="49">
        <f t="shared" si="18"/>
        <v>1.1655219809886965</v>
      </c>
      <c r="Y39" s="49">
        <f t="shared" si="18"/>
        <v>1.1888324206084704</v>
      </c>
      <c r="Z39" s="49">
        <f t="shared" si="18"/>
        <v>1.2126090690206399</v>
      </c>
      <c r="AA39" s="49">
        <f t="shared" si="18"/>
        <v>1.2368612504010525</v>
      </c>
      <c r="AB39" s="49">
        <f t="shared" si="18"/>
        <v>1.2615984754090737</v>
      </c>
      <c r="AC39" s="49">
        <f t="shared" si="18"/>
        <v>1.2868304449172552</v>
      </c>
      <c r="AD39" s="49">
        <f t="shared" si="18"/>
        <v>0</v>
      </c>
      <c r="AE39" s="49">
        <f t="shared" si="18"/>
        <v>0</v>
      </c>
      <c r="AF39" s="49">
        <f t="shared" si="18"/>
        <v>0</v>
      </c>
      <c r="AG39" s="49">
        <f t="shared" si="18"/>
        <v>0</v>
      </c>
      <c r="AH39" s="49">
        <f t="shared" si="18"/>
        <v>0</v>
      </c>
    </row>
    <row r="40" spans="1:34" s="25" customFormat="1" x14ac:dyDescent="0.25">
      <c r="H40" s="25" t="s">
        <v>5</v>
      </c>
      <c r="I40" s="55">
        <f t="shared" ref="I40:AH40" si="19">+I18+I23+I28+I34</f>
        <v>19.09</v>
      </c>
      <c r="J40" s="56">
        <f t="shared" si="19"/>
        <v>19.471799999999998</v>
      </c>
      <c r="K40" s="56">
        <f t="shared" si="19"/>
        <v>19.861235999999998</v>
      </c>
      <c r="L40" s="56">
        <f t="shared" si="19"/>
        <v>20.258460720000002</v>
      </c>
      <c r="M40" s="56">
        <f t="shared" si="19"/>
        <v>20.663629934399999</v>
      </c>
      <c r="N40" s="56">
        <f t="shared" si="19"/>
        <v>21.076902533087999</v>
      </c>
      <c r="O40" s="56">
        <f t="shared" si="19"/>
        <v>21.498440583749762</v>
      </c>
      <c r="P40" s="56">
        <f t="shared" si="19"/>
        <v>21.928409395424755</v>
      </c>
      <c r="Q40" s="56">
        <f t="shared" si="19"/>
        <v>22.366977583333252</v>
      </c>
      <c r="R40" s="56">
        <f t="shared" si="19"/>
        <v>22.814317134999918</v>
      </c>
      <c r="S40" s="56">
        <f t="shared" si="19"/>
        <v>23.270603477699915</v>
      </c>
      <c r="T40" s="56">
        <f t="shared" si="19"/>
        <v>23.736015547253913</v>
      </c>
      <c r="U40" s="56">
        <f t="shared" si="19"/>
        <v>24.210735858198994</v>
      </c>
      <c r="V40" s="56">
        <f t="shared" si="19"/>
        <v>24.694950575362974</v>
      </c>
      <c r="W40" s="56">
        <f t="shared" si="19"/>
        <v>25.188849586870234</v>
      </c>
      <c r="X40" s="56">
        <f t="shared" si="19"/>
        <v>25.692626578607637</v>
      </c>
      <c r="Y40" s="56">
        <f t="shared" si="19"/>
        <v>26.206479110179789</v>
      </c>
      <c r="Z40" s="56">
        <f t="shared" si="19"/>
        <v>26.730608692383385</v>
      </c>
      <c r="AA40" s="56">
        <f t="shared" si="19"/>
        <v>27.265220866231054</v>
      </c>
      <c r="AB40" s="56">
        <f t="shared" si="19"/>
        <v>27.810525283555677</v>
      </c>
      <c r="AC40" s="56">
        <f t="shared" si="19"/>
        <v>28.366735789226791</v>
      </c>
      <c r="AD40" s="56">
        <f t="shared" si="19"/>
        <v>28.934070505011327</v>
      </c>
      <c r="AE40" s="56">
        <f t="shared" si="19"/>
        <v>29.512751915111558</v>
      </c>
      <c r="AF40" s="56">
        <f t="shared" si="19"/>
        <v>30.103006953413789</v>
      </c>
      <c r="AG40" s="56">
        <f t="shared" si="19"/>
        <v>30.705067092482068</v>
      </c>
      <c r="AH40" s="57">
        <f t="shared" si="19"/>
        <v>31.319168434331708</v>
      </c>
    </row>
    <row r="41" spans="1:34" x14ac:dyDescent="0.25">
      <c r="H41" t="s">
        <v>25</v>
      </c>
      <c r="I41" s="50">
        <f>+I19+I24+I29+I35</f>
        <v>7.2224399999999989</v>
      </c>
      <c r="J41" s="50">
        <f t="shared" ref="J41:AC41" si="20">+J39*8.34</f>
        <v>7.366888799999999</v>
      </c>
      <c r="K41" s="50">
        <f t="shared" si="20"/>
        <v>7.5142265760000004</v>
      </c>
      <c r="L41" s="50">
        <f t="shared" si="20"/>
        <v>7.6645111075199992</v>
      </c>
      <c r="M41" s="50">
        <f t="shared" si="20"/>
        <v>7.8178013296703996</v>
      </c>
      <c r="N41" s="50">
        <f t="shared" si="20"/>
        <v>7.9741573562638077</v>
      </c>
      <c r="O41" s="50">
        <f t="shared" si="20"/>
        <v>8.1336405033890848</v>
      </c>
      <c r="P41" s="50">
        <f t="shared" si="20"/>
        <v>8.2963133134568654</v>
      </c>
      <c r="Q41" s="50">
        <f t="shared" si="20"/>
        <v>8.4622395797260044</v>
      </c>
      <c r="R41" s="50">
        <f t="shared" si="20"/>
        <v>8.6314843713205249</v>
      </c>
      <c r="S41" s="50">
        <f t="shared" si="20"/>
        <v>8.8041140587469364</v>
      </c>
      <c r="T41" s="50">
        <f t="shared" si="20"/>
        <v>8.9801963399218749</v>
      </c>
      <c r="U41" s="50">
        <f t="shared" si="20"/>
        <v>9.159800266720314</v>
      </c>
      <c r="V41" s="50">
        <f t="shared" si="20"/>
        <v>9.3429962720547195</v>
      </c>
      <c r="W41" s="50">
        <f t="shared" si="20"/>
        <v>9.5298561974958123</v>
      </c>
      <c r="X41" s="50">
        <f t="shared" si="20"/>
        <v>9.7204533214457296</v>
      </c>
      <c r="Y41" s="50">
        <f t="shared" si="20"/>
        <v>9.914862387874642</v>
      </c>
      <c r="Z41" s="50">
        <f t="shared" si="20"/>
        <v>10.113159635632137</v>
      </c>
      <c r="AA41" s="50">
        <f t="shared" si="20"/>
        <v>10.315422828344778</v>
      </c>
      <c r="AB41" s="50">
        <f t="shared" si="20"/>
        <v>10.521731284911674</v>
      </c>
      <c r="AC41" s="50">
        <f t="shared" si="20"/>
        <v>10.732165910609908</v>
      </c>
      <c r="AD41" s="50">
        <v>0</v>
      </c>
      <c r="AE41" s="50">
        <f>+AE39*8.34</f>
        <v>0</v>
      </c>
      <c r="AF41" s="50">
        <f>+AF39*8.34</f>
        <v>0</v>
      </c>
      <c r="AG41" s="50">
        <f>+AG39*8.34</f>
        <v>0</v>
      </c>
      <c r="AH41" s="50">
        <f>+AH39*8.34</f>
        <v>0</v>
      </c>
    </row>
    <row r="42" spans="1:34" x14ac:dyDescent="0.25">
      <c r="A42" s="26"/>
    </row>
    <row r="43" spans="1:34" x14ac:dyDescent="0.25">
      <c r="A43" s="26" t="s">
        <v>28</v>
      </c>
    </row>
    <row r="44" spans="1:34" ht="15.75" x14ac:dyDescent="0.25">
      <c r="A44" t="s">
        <v>41</v>
      </c>
      <c r="H44" t="s">
        <v>6</v>
      </c>
      <c r="I44" s="24">
        <v>3.26</v>
      </c>
      <c r="J44" s="17">
        <f t="shared" ref="J44:AH44" si="21">I44*(1+J12/100)</f>
        <v>3.3251999999999997</v>
      </c>
      <c r="K44" s="15">
        <f t="shared" si="21"/>
        <v>3.3917039999999998</v>
      </c>
      <c r="L44" s="15">
        <f t="shared" si="21"/>
        <v>3.4595380799999997</v>
      </c>
      <c r="M44" s="15">
        <f t="shared" si="21"/>
        <v>3.5287288416</v>
      </c>
      <c r="N44" s="15">
        <f t="shared" si="21"/>
        <v>3.5993034184320001</v>
      </c>
      <c r="O44" s="15">
        <f t="shared" si="21"/>
        <v>3.67128948680064</v>
      </c>
      <c r="P44" s="15">
        <f t="shared" si="21"/>
        <v>3.7447152765366529</v>
      </c>
      <c r="Q44" s="15">
        <f t="shared" si="21"/>
        <v>3.8196095820673861</v>
      </c>
      <c r="R44" s="15">
        <f t="shared" si="21"/>
        <v>3.896001773708734</v>
      </c>
      <c r="S44" s="15">
        <f t="shared" si="21"/>
        <v>3.9739218091829089</v>
      </c>
      <c r="T44" s="15">
        <f t="shared" si="21"/>
        <v>4.053400245366567</v>
      </c>
      <c r="U44" s="15">
        <f t="shared" si="21"/>
        <v>4.1344682502738985</v>
      </c>
      <c r="V44" s="15">
        <f t="shared" si="21"/>
        <v>4.2171576152793762</v>
      </c>
      <c r="W44" s="15">
        <f t="shared" si="21"/>
        <v>4.3015007675849635</v>
      </c>
      <c r="X44" s="15">
        <f t="shared" si="21"/>
        <v>4.387530782936663</v>
      </c>
      <c r="Y44" s="15">
        <f t="shared" si="21"/>
        <v>4.4752813985953965</v>
      </c>
      <c r="Z44" s="15">
        <f t="shared" si="21"/>
        <v>4.5647870265673047</v>
      </c>
      <c r="AA44" s="15">
        <f t="shared" si="21"/>
        <v>4.6560827670986509</v>
      </c>
      <c r="AB44" s="15">
        <f t="shared" si="21"/>
        <v>4.7492044224406236</v>
      </c>
      <c r="AC44" s="15">
        <f t="shared" si="21"/>
        <v>4.8441885108894365</v>
      </c>
      <c r="AD44" s="15">
        <f t="shared" si="21"/>
        <v>4.9410722811072256</v>
      </c>
      <c r="AE44" s="15">
        <f t="shared" si="21"/>
        <v>5.0398937267293702</v>
      </c>
      <c r="AF44" s="15">
        <f t="shared" si="21"/>
        <v>5.1406916012639581</v>
      </c>
      <c r="AG44" s="15">
        <f t="shared" si="21"/>
        <v>5.2435054332892372</v>
      </c>
      <c r="AH44" s="16">
        <f t="shared" si="21"/>
        <v>5.3483755419550221</v>
      </c>
    </row>
    <row r="45" spans="1:34" x14ac:dyDescent="0.25">
      <c r="H45" t="s">
        <v>7</v>
      </c>
      <c r="I45">
        <v>3.26</v>
      </c>
      <c r="J45" s="1">
        <f>I45*(1+J13/100)</f>
        <v>3.3251999999999997</v>
      </c>
      <c r="K45" s="1">
        <f t="shared" ref="K45:AC45" si="22">+J45*(1+K13/100)</f>
        <v>3.3917039999999998</v>
      </c>
      <c r="L45" s="1">
        <f t="shared" si="22"/>
        <v>3.4595380799999997</v>
      </c>
      <c r="M45" s="1">
        <f t="shared" si="22"/>
        <v>3.5287288416</v>
      </c>
      <c r="N45" s="1">
        <f t="shared" si="22"/>
        <v>3.5993034184320001</v>
      </c>
      <c r="O45" s="1">
        <f t="shared" si="22"/>
        <v>3.67128948680064</v>
      </c>
      <c r="P45" s="1">
        <f t="shared" si="22"/>
        <v>3.7447152765366529</v>
      </c>
      <c r="Q45" s="1">
        <f t="shared" si="22"/>
        <v>3.8196095820673861</v>
      </c>
      <c r="R45" s="1">
        <f t="shared" si="22"/>
        <v>3.896001773708734</v>
      </c>
      <c r="S45" s="1">
        <f t="shared" si="22"/>
        <v>3.9739218091829089</v>
      </c>
      <c r="T45" s="1">
        <f t="shared" si="22"/>
        <v>4.053400245366567</v>
      </c>
      <c r="U45" s="1">
        <f t="shared" si="22"/>
        <v>4.1344682502738985</v>
      </c>
      <c r="V45" s="1">
        <f t="shared" si="22"/>
        <v>4.2171576152793762</v>
      </c>
      <c r="W45" s="1">
        <f t="shared" si="22"/>
        <v>4.3015007675849635</v>
      </c>
      <c r="X45" s="1">
        <f t="shared" si="22"/>
        <v>4.387530782936663</v>
      </c>
      <c r="Y45" s="1">
        <f t="shared" si="22"/>
        <v>4.4752813985953965</v>
      </c>
      <c r="Z45" s="1">
        <f t="shared" si="22"/>
        <v>4.5647870265673047</v>
      </c>
      <c r="AA45" s="1">
        <f t="shared" si="22"/>
        <v>4.6560827670986509</v>
      </c>
      <c r="AB45" s="1">
        <f t="shared" si="22"/>
        <v>4.7492044224406236</v>
      </c>
      <c r="AC45" s="1">
        <f t="shared" si="22"/>
        <v>4.8441885108894365</v>
      </c>
      <c r="AD45">
        <v>0</v>
      </c>
      <c r="AE45">
        <v>0</v>
      </c>
      <c r="AF45">
        <v>0</v>
      </c>
      <c r="AG45">
        <v>0</v>
      </c>
      <c r="AH45">
        <v>0</v>
      </c>
    </row>
    <row r="46" spans="1:34" ht="15.75" x14ac:dyDescent="0.25">
      <c r="H46" t="s">
        <v>5</v>
      </c>
      <c r="I46" s="24">
        <v>27.19</v>
      </c>
      <c r="J46" s="17">
        <f t="shared" ref="J46:AH46" si="23">I46*(1+J12/100)</f>
        <v>27.733800000000002</v>
      </c>
      <c r="K46" s="15">
        <f t="shared" si="23"/>
        <v>28.288476000000003</v>
      </c>
      <c r="L46" s="15">
        <f t="shared" si="23"/>
        <v>28.854245520000003</v>
      </c>
      <c r="M46" s="15">
        <f t="shared" si="23"/>
        <v>29.431330430400003</v>
      </c>
      <c r="N46" s="15">
        <f t="shared" si="23"/>
        <v>30.019957039008002</v>
      </c>
      <c r="O46" s="15">
        <f t="shared" si="23"/>
        <v>30.620356179788164</v>
      </c>
      <c r="P46" s="15">
        <f t="shared" si="23"/>
        <v>31.232763303383926</v>
      </c>
      <c r="Q46" s="15">
        <f t="shared" si="23"/>
        <v>31.857418569451607</v>
      </c>
      <c r="R46" s="15">
        <f t="shared" si="23"/>
        <v>32.494566940840642</v>
      </c>
      <c r="S46" s="15">
        <f t="shared" si="23"/>
        <v>33.144458279657457</v>
      </c>
      <c r="T46" s="15">
        <f t="shared" si="23"/>
        <v>33.807347445250606</v>
      </c>
      <c r="U46" s="15">
        <f t="shared" si="23"/>
        <v>34.48349439415562</v>
      </c>
      <c r="V46" s="15">
        <f t="shared" si="23"/>
        <v>35.173164282038734</v>
      </c>
      <c r="W46" s="15">
        <f t="shared" si="23"/>
        <v>35.876627567679506</v>
      </c>
      <c r="X46" s="15">
        <f t="shared" si="23"/>
        <v>36.594160119033099</v>
      </c>
      <c r="Y46" s="15">
        <f t="shared" si="23"/>
        <v>37.326043321413763</v>
      </c>
      <c r="Z46" s="15">
        <f t="shared" si="23"/>
        <v>38.07256418784204</v>
      </c>
      <c r="AA46" s="15">
        <f t="shared" si="23"/>
        <v>38.834015471598882</v>
      </c>
      <c r="AB46" s="15">
        <f t="shared" si="23"/>
        <v>39.610695781030863</v>
      </c>
      <c r="AC46" s="15">
        <f t="shared" si="23"/>
        <v>40.402909696651484</v>
      </c>
      <c r="AD46" s="15">
        <f t="shared" si="23"/>
        <v>41.210967890584513</v>
      </c>
      <c r="AE46" s="15">
        <f t="shared" si="23"/>
        <v>42.035187248396205</v>
      </c>
      <c r="AF46" s="15">
        <f t="shared" si="23"/>
        <v>42.875890993364131</v>
      </c>
      <c r="AG46" s="15">
        <f t="shared" si="23"/>
        <v>43.733408813231414</v>
      </c>
      <c r="AH46" s="16">
        <f t="shared" si="23"/>
        <v>44.608076989496041</v>
      </c>
    </row>
    <row r="47" spans="1:34" x14ac:dyDescent="0.25">
      <c r="H47" t="s">
        <v>25</v>
      </c>
      <c r="I47" s="1">
        <f>+I45*8.34</f>
        <v>27.188399999999998</v>
      </c>
      <c r="J47" s="1">
        <f>I47*(1+J13/100)</f>
        <v>27.732167999999998</v>
      </c>
      <c r="K47" s="1">
        <f t="shared" ref="K47:AC47" si="24">+J47*(1+K13/100)</f>
        <v>28.286811359999998</v>
      </c>
      <c r="L47" s="1">
        <f t="shared" si="24"/>
        <v>28.8525475872</v>
      </c>
      <c r="M47" s="1">
        <f t="shared" si="24"/>
        <v>29.429598538943999</v>
      </c>
      <c r="N47" s="1">
        <f t="shared" si="24"/>
        <v>30.018190509722881</v>
      </c>
      <c r="O47" s="1">
        <f t="shared" si="24"/>
        <v>30.61855431991734</v>
      </c>
      <c r="P47" s="1">
        <f t="shared" si="24"/>
        <v>31.230925406315688</v>
      </c>
      <c r="Q47" s="1">
        <f t="shared" si="24"/>
        <v>31.855543914442002</v>
      </c>
      <c r="R47" s="1">
        <f t="shared" si="24"/>
        <v>32.492654792730839</v>
      </c>
      <c r="S47" s="1">
        <f t="shared" si="24"/>
        <v>33.142507888585456</v>
      </c>
      <c r="T47" s="1">
        <f t="shared" si="24"/>
        <v>33.805358046357163</v>
      </c>
      <c r="U47" s="1">
        <f t="shared" si="24"/>
        <v>34.481465207284309</v>
      </c>
      <c r="V47" s="1">
        <f t="shared" si="24"/>
        <v>35.171094511429999</v>
      </c>
      <c r="W47" s="1">
        <f t="shared" si="24"/>
        <v>35.874516401658596</v>
      </c>
      <c r="X47" s="1">
        <f t="shared" si="24"/>
        <v>36.592006729691768</v>
      </c>
      <c r="Y47" s="1">
        <f t="shared" si="24"/>
        <v>37.323846864285606</v>
      </c>
      <c r="Z47" s="1">
        <f t="shared" si="24"/>
        <v>38.07032380157132</v>
      </c>
      <c r="AA47" s="1">
        <f t="shared" si="24"/>
        <v>38.831730277602745</v>
      </c>
      <c r="AB47" s="1">
        <f t="shared" si="24"/>
        <v>39.608364883154799</v>
      </c>
      <c r="AC47" s="1">
        <f t="shared" si="24"/>
        <v>40.400532180817898</v>
      </c>
      <c r="AD47">
        <v>0</v>
      </c>
      <c r="AE47">
        <v>0</v>
      </c>
      <c r="AF47">
        <v>0</v>
      </c>
      <c r="AG47">
        <v>0</v>
      </c>
      <c r="AH47">
        <v>0</v>
      </c>
    </row>
    <row r="49" spans="1:34" ht="15.75" x14ac:dyDescent="0.25">
      <c r="A49" t="s">
        <v>93</v>
      </c>
      <c r="H49" t="s">
        <v>6</v>
      </c>
      <c r="I49" s="24">
        <v>0.52</v>
      </c>
      <c r="J49" s="17">
        <f t="shared" ref="J49:AH49" si="25">I49*(1+J12/100)</f>
        <v>0.53039999999999998</v>
      </c>
      <c r="K49" s="15">
        <f t="shared" si="25"/>
        <v>0.54100800000000004</v>
      </c>
      <c r="L49" s="15">
        <f t="shared" si="25"/>
        <v>0.55182816000000001</v>
      </c>
      <c r="M49" s="15">
        <f t="shared" si="25"/>
        <v>0.56286472320000003</v>
      </c>
      <c r="N49" s="15">
        <f t="shared" si="25"/>
        <v>0.57412201766400006</v>
      </c>
      <c r="O49" s="15">
        <f t="shared" si="25"/>
        <v>0.58560445801728012</v>
      </c>
      <c r="P49" s="15">
        <f t="shared" si="25"/>
        <v>0.59731654717762572</v>
      </c>
      <c r="Q49" s="15">
        <f t="shared" si="25"/>
        <v>0.6092628781211783</v>
      </c>
      <c r="R49" s="15">
        <f t="shared" si="25"/>
        <v>0.62144813568360191</v>
      </c>
      <c r="S49" s="15">
        <f t="shared" si="25"/>
        <v>0.63387709839727391</v>
      </c>
      <c r="T49" s="15">
        <f t="shared" si="25"/>
        <v>0.64655464036521937</v>
      </c>
      <c r="U49" s="15">
        <f t="shared" si="25"/>
        <v>0.65948573317252379</v>
      </c>
      <c r="V49" s="15">
        <f t="shared" si="25"/>
        <v>0.67267544783597433</v>
      </c>
      <c r="W49" s="15">
        <f t="shared" si="25"/>
        <v>0.68612895679269381</v>
      </c>
      <c r="X49" s="15">
        <f t="shared" si="25"/>
        <v>0.69985153592854765</v>
      </c>
      <c r="Y49" s="15">
        <f t="shared" si="25"/>
        <v>0.7138485666471186</v>
      </c>
      <c r="Z49" s="15">
        <f t="shared" si="25"/>
        <v>0.72812553798006097</v>
      </c>
      <c r="AA49" s="15">
        <f t="shared" si="25"/>
        <v>0.74268804873966221</v>
      </c>
      <c r="AB49" s="15">
        <f t="shared" si="25"/>
        <v>0.75754180971445551</v>
      </c>
      <c r="AC49" s="15">
        <f t="shared" si="25"/>
        <v>0.77269264590874465</v>
      </c>
      <c r="AD49" s="15">
        <f t="shared" si="25"/>
        <v>0.78814649882691956</v>
      </c>
      <c r="AE49" s="15">
        <f t="shared" si="25"/>
        <v>0.80390942880345795</v>
      </c>
      <c r="AF49" s="15">
        <f t="shared" si="25"/>
        <v>0.81998761737952708</v>
      </c>
      <c r="AG49" s="15">
        <f t="shared" si="25"/>
        <v>0.83638736972711758</v>
      </c>
      <c r="AH49" s="16">
        <f t="shared" si="25"/>
        <v>0.85311511712165999</v>
      </c>
    </row>
    <row r="50" spans="1:34" x14ac:dyDescent="0.25">
      <c r="H50" t="s">
        <v>7</v>
      </c>
      <c r="I50">
        <v>0.52</v>
      </c>
      <c r="J50" s="1">
        <f>I50*(1+J13/100)</f>
        <v>0.53039999999999998</v>
      </c>
      <c r="K50" s="1">
        <f t="shared" ref="K50:AC50" si="26">+J50*(1+K13/100)</f>
        <v>0.54100800000000004</v>
      </c>
      <c r="L50" s="1">
        <f t="shared" si="26"/>
        <v>0.55182816000000001</v>
      </c>
      <c r="M50" s="1">
        <f t="shared" si="26"/>
        <v>0.56286472320000003</v>
      </c>
      <c r="N50" s="1">
        <f t="shared" si="26"/>
        <v>0.57412201766400006</v>
      </c>
      <c r="O50" s="1">
        <f t="shared" si="26"/>
        <v>0.58560445801728012</v>
      </c>
      <c r="P50" s="1">
        <f t="shared" si="26"/>
        <v>0.59731654717762572</v>
      </c>
      <c r="Q50" s="1">
        <f t="shared" si="26"/>
        <v>0.6092628781211783</v>
      </c>
      <c r="R50" s="1">
        <f t="shared" si="26"/>
        <v>0.62144813568360191</v>
      </c>
      <c r="S50" s="1">
        <f t="shared" si="26"/>
        <v>0.63387709839727391</v>
      </c>
      <c r="T50" s="1">
        <f t="shared" si="26"/>
        <v>0.64655464036521937</v>
      </c>
      <c r="U50" s="1">
        <f t="shared" si="26"/>
        <v>0.65948573317252379</v>
      </c>
      <c r="V50" s="1">
        <f t="shared" si="26"/>
        <v>0.67267544783597433</v>
      </c>
      <c r="W50" s="1">
        <f t="shared" si="26"/>
        <v>0.68612895679269381</v>
      </c>
      <c r="X50" s="1">
        <f t="shared" si="26"/>
        <v>0.69985153592854765</v>
      </c>
      <c r="Y50" s="1">
        <f t="shared" si="26"/>
        <v>0.7138485666471186</v>
      </c>
      <c r="Z50" s="1">
        <f t="shared" si="26"/>
        <v>0.72812553798006097</v>
      </c>
      <c r="AA50" s="1">
        <f t="shared" si="26"/>
        <v>0.74268804873966221</v>
      </c>
      <c r="AB50" s="1">
        <f t="shared" si="26"/>
        <v>0.75754180971445551</v>
      </c>
      <c r="AC50" s="1">
        <f t="shared" si="26"/>
        <v>0.77269264590874465</v>
      </c>
      <c r="AD50">
        <v>0</v>
      </c>
      <c r="AE50">
        <v>0</v>
      </c>
      <c r="AF50">
        <v>0</v>
      </c>
      <c r="AG50">
        <v>0</v>
      </c>
      <c r="AH50">
        <v>0</v>
      </c>
    </row>
    <row r="51" spans="1:34" ht="15.75" x14ac:dyDescent="0.25">
      <c r="H51" t="s">
        <v>5</v>
      </c>
      <c r="I51" s="24">
        <v>4.34</v>
      </c>
      <c r="J51" s="17">
        <f t="shared" ref="J51:AH51" si="27">I51*(1+J12/100)</f>
        <v>4.4268000000000001</v>
      </c>
      <c r="K51" s="15">
        <f t="shared" si="27"/>
        <v>4.5153360000000005</v>
      </c>
      <c r="L51" s="15">
        <f t="shared" si="27"/>
        <v>4.6056427200000005</v>
      </c>
      <c r="M51" s="15">
        <f t="shared" si="27"/>
        <v>4.6977555744000004</v>
      </c>
      <c r="N51" s="15">
        <f t="shared" si="27"/>
        <v>4.7917106858880008</v>
      </c>
      <c r="O51" s="15">
        <f t="shared" si="27"/>
        <v>4.8875448996057607</v>
      </c>
      <c r="P51" s="15">
        <f t="shared" si="27"/>
        <v>4.9852957975978756</v>
      </c>
      <c r="Q51" s="15">
        <f t="shared" si="27"/>
        <v>5.0850017135498335</v>
      </c>
      <c r="R51" s="15">
        <f t="shared" si="27"/>
        <v>5.1867017478208304</v>
      </c>
      <c r="S51" s="15">
        <f t="shared" si="27"/>
        <v>5.290435782777247</v>
      </c>
      <c r="T51" s="15">
        <f t="shared" si="27"/>
        <v>5.3962444984327922</v>
      </c>
      <c r="U51" s="15">
        <f t="shared" si="27"/>
        <v>5.504169388401448</v>
      </c>
      <c r="V51" s="15">
        <f t="shared" si="27"/>
        <v>5.6142527761694767</v>
      </c>
      <c r="W51" s="15">
        <f t="shared" si="27"/>
        <v>5.7265378316928661</v>
      </c>
      <c r="X51" s="15">
        <f t="shared" si="27"/>
        <v>5.8410685883267233</v>
      </c>
      <c r="Y51" s="15">
        <f t="shared" si="27"/>
        <v>5.957889960093258</v>
      </c>
      <c r="Z51" s="15">
        <f t="shared" si="27"/>
        <v>6.0770477592951231</v>
      </c>
      <c r="AA51" s="15">
        <f t="shared" si="27"/>
        <v>6.1985887144810254</v>
      </c>
      <c r="AB51" s="15">
        <f t="shared" si="27"/>
        <v>6.3225604887706464</v>
      </c>
      <c r="AC51" s="15">
        <f t="shared" si="27"/>
        <v>6.4490116985460597</v>
      </c>
      <c r="AD51" s="15">
        <f t="shared" si="27"/>
        <v>6.5779919325169809</v>
      </c>
      <c r="AE51" s="15">
        <f t="shared" si="27"/>
        <v>6.7095517711673205</v>
      </c>
      <c r="AF51" s="15">
        <f t="shared" si="27"/>
        <v>6.8437428065906669</v>
      </c>
      <c r="AG51" s="15">
        <f t="shared" si="27"/>
        <v>6.9806176627224801</v>
      </c>
      <c r="AH51" s="16">
        <f t="shared" si="27"/>
        <v>7.1202300159769294</v>
      </c>
    </row>
    <row r="52" spans="1:34" x14ac:dyDescent="0.25">
      <c r="H52" t="s">
        <v>25</v>
      </c>
      <c r="I52" s="1">
        <f>+I50*8.34</f>
        <v>4.3368000000000002</v>
      </c>
      <c r="J52" s="1">
        <f>I52*(1+J13/100)</f>
        <v>4.4235360000000004</v>
      </c>
      <c r="K52" s="1">
        <f t="shared" ref="K52:AC52" si="28">+J52*(1+K13/100)</f>
        <v>4.5120067200000005</v>
      </c>
      <c r="L52" s="1">
        <f t="shared" si="28"/>
        <v>4.6022468544000006</v>
      </c>
      <c r="M52" s="1">
        <f t="shared" si="28"/>
        <v>4.6942917914880002</v>
      </c>
      <c r="N52" s="1">
        <f t="shared" si="28"/>
        <v>4.7881776273177605</v>
      </c>
      <c r="O52" s="1">
        <f t="shared" si="28"/>
        <v>4.8839411798641157</v>
      </c>
      <c r="P52" s="1">
        <f t="shared" si="28"/>
        <v>4.9816200034613978</v>
      </c>
      <c r="Q52" s="1">
        <f t="shared" si="28"/>
        <v>5.0812524035306259</v>
      </c>
      <c r="R52" s="1">
        <f t="shared" si="28"/>
        <v>5.1828774516012386</v>
      </c>
      <c r="S52" s="1">
        <f t="shared" si="28"/>
        <v>5.2865350006332639</v>
      </c>
      <c r="T52" s="1">
        <f t="shared" si="28"/>
        <v>5.3922657006459289</v>
      </c>
      <c r="U52" s="1">
        <f t="shared" si="28"/>
        <v>5.5001110146588479</v>
      </c>
      <c r="V52" s="1">
        <f t="shared" si="28"/>
        <v>5.6101132349520251</v>
      </c>
      <c r="W52" s="1">
        <f t="shared" si="28"/>
        <v>5.7223154996510655</v>
      </c>
      <c r="X52" s="1">
        <f t="shared" si="28"/>
        <v>5.836761809644087</v>
      </c>
      <c r="Y52" s="1">
        <f t="shared" si="28"/>
        <v>5.9534970458369685</v>
      </c>
      <c r="Z52" s="1">
        <f t="shared" si="28"/>
        <v>6.0725669867537082</v>
      </c>
      <c r="AA52" s="1">
        <f t="shared" si="28"/>
        <v>6.1940183264887825</v>
      </c>
      <c r="AB52" s="1">
        <f t="shared" si="28"/>
        <v>6.3178986930185586</v>
      </c>
      <c r="AC52" s="1">
        <f t="shared" si="28"/>
        <v>6.4442566668789301</v>
      </c>
      <c r="AD52">
        <v>0</v>
      </c>
      <c r="AE52">
        <v>0</v>
      </c>
      <c r="AF52">
        <v>0</v>
      </c>
      <c r="AG52">
        <v>0</v>
      </c>
      <c r="AH52">
        <v>0</v>
      </c>
    </row>
    <row r="54" spans="1:34" ht="15.75" x14ac:dyDescent="0.25">
      <c r="A54" t="s">
        <v>95</v>
      </c>
      <c r="H54" t="s">
        <v>6</v>
      </c>
      <c r="I54" s="24">
        <v>0.5</v>
      </c>
      <c r="J54" s="17">
        <f t="shared" ref="J54:AH54" si="29">I54*(1+J12/100)</f>
        <v>0.51</v>
      </c>
      <c r="K54" s="15">
        <f t="shared" si="29"/>
        <v>0.5202</v>
      </c>
      <c r="L54" s="15">
        <f t="shared" si="29"/>
        <v>0.53060399999999996</v>
      </c>
      <c r="M54" s="15">
        <f t="shared" si="29"/>
        <v>0.54121607999999999</v>
      </c>
      <c r="N54" s="15">
        <f t="shared" si="29"/>
        <v>0.55204040160000001</v>
      </c>
      <c r="O54" s="15">
        <f t="shared" si="29"/>
        <v>0.56308120963200003</v>
      </c>
      <c r="P54" s="15">
        <f t="shared" si="29"/>
        <v>0.57434283382464002</v>
      </c>
      <c r="Q54" s="15">
        <f t="shared" si="29"/>
        <v>0.58582969050113287</v>
      </c>
      <c r="R54" s="15">
        <f t="shared" si="29"/>
        <v>0.59754628431115553</v>
      </c>
      <c r="S54" s="15">
        <f t="shared" si="29"/>
        <v>0.60949720999737866</v>
      </c>
      <c r="T54" s="15">
        <f t="shared" si="29"/>
        <v>0.62168715419732623</v>
      </c>
      <c r="U54" s="15">
        <f t="shared" si="29"/>
        <v>0.63412089728127274</v>
      </c>
      <c r="V54" s="15">
        <f t="shared" si="29"/>
        <v>0.64680331522689816</v>
      </c>
      <c r="W54" s="15">
        <f t="shared" si="29"/>
        <v>0.65973938153143619</v>
      </c>
      <c r="X54" s="15">
        <f t="shared" si="29"/>
        <v>0.67293416916206494</v>
      </c>
      <c r="Y54" s="15">
        <f t="shared" si="29"/>
        <v>0.68639285254530624</v>
      </c>
      <c r="Z54" s="15">
        <f t="shared" si="29"/>
        <v>0.70012070959621242</v>
      </c>
      <c r="AA54" s="15">
        <f t="shared" si="29"/>
        <v>0.71412312378813669</v>
      </c>
      <c r="AB54" s="15">
        <f t="shared" si="29"/>
        <v>0.7284055862638994</v>
      </c>
      <c r="AC54" s="15">
        <f t="shared" si="29"/>
        <v>0.74297369798917745</v>
      </c>
      <c r="AD54" s="15">
        <f t="shared" si="29"/>
        <v>0.75783317194896105</v>
      </c>
      <c r="AE54" s="15">
        <f t="shared" si="29"/>
        <v>0.77298983538794031</v>
      </c>
      <c r="AF54" s="15">
        <f t="shared" si="29"/>
        <v>0.78844963209569907</v>
      </c>
      <c r="AG54" s="15">
        <f t="shared" si="29"/>
        <v>0.80421862473761307</v>
      </c>
      <c r="AH54" s="16">
        <f t="shared" si="29"/>
        <v>0.82030299723236533</v>
      </c>
    </row>
    <row r="55" spans="1:34" x14ac:dyDescent="0.25">
      <c r="H55" t="s">
        <v>7</v>
      </c>
      <c r="I55">
        <v>0.5</v>
      </c>
      <c r="J55" s="1">
        <f>I55*(1+J13/100)</f>
        <v>0.51</v>
      </c>
      <c r="K55" s="1">
        <f t="shared" ref="K55:AC55" si="30">+J55*(1+K13/100)</f>
        <v>0.5202</v>
      </c>
      <c r="L55" s="1">
        <f t="shared" si="30"/>
        <v>0.53060399999999996</v>
      </c>
      <c r="M55" s="1">
        <f t="shared" si="30"/>
        <v>0.54121607999999999</v>
      </c>
      <c r="N55" s="1">
        <f t="shared" si="30"/>
        <v>0.55204040160000001</v>
      </c>
      <c r="O55" s="1">
        <f t="shared" si="30"/>
        <v>0.56308120963200003</v>
      </c>
      <c r="P55" s="1">
        <f t="shared" si="30"/>
        <v>0.57434283382464002</v>
      </c>
      <c r="Q55" s="1">
        <f t="shared" si="30"/>
        <v>0.58582969050113287</v>
      </c>
      <c r="R55" s="1">
        <f t="shared" si="30"/>
        <v>0.59754628431115553</v>
      </c>
      <c r="S55" s="1">
        <f t="shared" si="30"/>
        <v>0.60949720999737866</v>
      </c>
      <c r="T55" s="1">
        <f t="shared" si="30"/>
        <v>0.62168715419732623</v>
      </c>
      <c r="U55" s="1">
        <f t="shared" si="30"/>
        <v>0.63412089728127274</v>
      </c>
      <c r="V55" s="1">
        <f t="shared" si="30"/>
        <v>0.64680331522689816</v>
      </c>
      <c r="W55" s="1">
        <f t="shared" si="30"/>
        <v>0.65973938153143619</v>
      </c>
      <c r="X55" s="1">
        <f t="shared" si="30"/>
        <v>0.67293416916206494</v>
      </c>
      <c r="Y55" s="1">
        <f t="shared" si="30"/>
        <v>0.68639285254530624</v>
      </c>
      <c r="Z55" s="1">
        <f t="shared" si="30"/>
        <v>0.70012070959621242</v>
      </c>
      <c r="AA55" s="1">
        <f t="shared" si="30"/>
        <v>0.71412312378813669</v>
      </c>
      <c r="AB55" s="1">
        <f t="shared" si="30"/>
        <v>0.7284055862638994</v>
      </c>
      <c r="AC55" s="1">
        <f t="shared" si="30"/>
        <v>0.74297369798917745</v>
      </c>
      <c r="AD55">
        <v>0</v>
      </c>
      <c r="AE55">
        <v>0</v>
      </c>
      <c r="AF55">
        <v>0</v>
      </c>
      <c r="AG55">
        <v>0</v>
      </c>
      <c r="AH55">
        <v>0</v>
      </c>
    </row>
    <row r="56" spans="1:34" ht="15.75" x14ac:dyDescent="0.25">
      <c r="H56" t="s">
        <v>5</v>
      </c>
      <c r="I56" s="24">
        <v>4.17</v>
      </c>
      <c r="J56" s="17">
        <f t="shared" ref="J56:AH56" si="31">I56*(1+J12/100)</f>
        <v>4.2534000000000001</v>
      </c>
      <c r="K56" s="15">
        <f t="shared" si="31"/>
        <v>4.3384679999999998</v>
      </c>
      <c r="L56" s="15">
        <f t="shared" si="31"/>
        <v>4.4252373599999997</v>
      </c>
      <c r="M56" s="15">
        <f t="shared" si="31"/>
        <v>4.5137421071999997</v>
      </c>
      <c r="N56" s="15">
        <f t="shared" si="31"/>
        <v>4.6040169493439995</v>
      </c>
      <c r="O56" s="15">
        <f t="shared" si="31"/>
        <v>4.69609728833088</v>
      </c>
      <c r="P56" s="15">
        <f t="shared" si="31"/>
        <v>4.7900192340974979</v>
      </c>
      <c r="Q56" s="15">
        <f t="shared" si="31"/>
        <v>4.8858196187794478</v>
      </c>
      <c r="R56" s="15">
        <f t="shared" si="31"/>
        <v>4.9835360111550369</v>
      </c>
      <c r="S56" s="15">
        <f t="shared" si="31"/>
        <v>5.0832067313781373</v>
      </c>
      <c r="T56" s="15">
        <f t="shared" si="31"/>
        <v>5.1848708660057001</v>
      </c>
      <c r="U56" s="15">
        <f t="shared" si="31"/>
        <v>5.2885682833258141</v>
      </c>
      <c r="V56" s="15">
        <f t="shared" si="31"/>
        <v>5.3943396489923305</v>
      </c>
      <c r="W56" s="15">
        <f t="shared" si="31"/>
        <v>5.5022264419721774</v>
      </c>
      <c r="X56" s="15">
        <f t="shared" si="31"/>
        <v>5.612270970811621</v>
      </c>
      <c r="Y56" s="15">
        <f t="shared" si="31"/>
        <v>5.7245163902278531</v>
      </c>
      <c r="Z56" s="15">
        <f t="shared" si="31"/>
        <v>5.8390067180324099</v>
      </c>
      <c r="AA56" s="15">
        <f t="shared" si="31"/>
        <v>5.9557868523930582</v>
      </c>
      <c r="AB56" s="15">
        <f t="shared" si="31"/>
        <v>6.074902589440919</v>
      </c>
      <c r="AC56" s="15">
        <f t="shared" si="31"/>
        <v>6.1964006412297374</v>
      </c>
      <c r="AD56" s="15">
        <f t="shared" si="31"/>
        <v>6.3203286540543324</v>
      </c>
      <c r="AE56" s="15">
        <f t="shared" si="31"/>
        <v>6.4467352271354192</v>
      </c>
      <c r="AF56" s="15">
        <f t="shared" si="31"/>
        <v>6.575669931678128</v>
      </c>
      <c r="AG56" s="15">
        <f t="shared" si="31"/>
        <v>6.7071833303116906</v>
      </c>
      <c r="AH56" s="16">
        <f t="shared" si="31"/>
        <v>6.8413269969179247</v>
      </c>
    </row>
    <row r="57" spans="1:34" x14ac:dyDescent="0.25">
      <c r="H57" t="s">
        <v>25</v>
      </c>
      <c r="I57" s="1">
        <f>+I55*8.34</f>
        <v>4.17</v>
      </c>
      <c r="J57" s="1">
        <f>I57*(1+J13/100)</f>
        <v>4.2534000000000001</v>
      </c>
      <c r="K57" s="1">
        <f t="shared" ref="K57:AC57" si="32">+J57*(1+K13/100)</f>
        <v>4.3384679999999998</v>
      </c>
      <c r="L57" s="1">
        <f t="shared" si="32"/>
        <v>4.4252373599999997</v>
      </c>
      <c r="M57" s="1">
        <f t="shared" si="32"/>
        <v>4.5137421071999997</v>
      </c>
      <c r="N57" s="1">
        <f t="shared" si="32"/>
        <v>4.6040169493439995</v>
      </c>
      <c r="O57" s="1">
        <f t="shared" si="32"/>
        <v>4.69609728833088</v>
      </c>
      <c r="P57" s="1">
        <f t="shared" si="32"/>
        <v>4.7900192340974979</v>
      </c>
      <c r="Q57" s="1">
        <f t="shared" si="32"/>
        <v>4.8858196187794478</v>
      </c>
      <c r="R57" s="1">
        <f t="shared" si="32"/>
        <v>4.9835360111550369</v>
      </c>
      <c r="S57" s="1">
        <f t="shared" si="32"/>
        <v>5.0832067313781373</v>
      </c>
      <c r="T57" s="1">
        <f t="shared" si="32"/>
        <v>5.1848708660057001</v>
      </c>
      <c r="U57" s="1">
        <f t="shared" si="32"/>
        <v>5.2885682833258141</v>
      </c>
      <c r="V57" s="1">
        <f t="shared" si="32"/>
        <v>5.3943396489923305</v>
      </c>
      <c r="W57" s="1">
        <f t="shared" si="32"/>
        <v>5.5022264419721774</v>
      </c>
      <c r="X57" s="1">
        <f t="shared" si="32"/>
        <v>5.612270970811621</v>
      </c>
      <c r="Y57" s="1">
        <f t="shared" si="32"/>
        <v>5.7245163902278531</v>
      </c>
      <c r="Z57" s="1">
        <f t="shared" si="32"/>
        <v>5.8390067180324099</v>
      </c>
      <c r="AA57" s="1">
        <f t="shared" si="32"/>
        <v>5.9557868523930582</v>
      </c>
      <c r="AB57" s="1">
        <f t="shared" si="32"/>
        <v>6.074902589440919</v>
      </c>
      <c r="AC57" s="1">
        <f t="shared" si="32"/>
        <v>6.1964006412297374</v>
      </c>
      <c r="AD57">
        <v>0</v>
      </c>
      <c r="AE57">
        <v>0</v>
      </c>
      <c r="AF57">
        <v>0</v>
      </c>
      <c r="AG57">
        <v>0</v>
      </c>
      <c r="AH57">
        <v>0</v>
      </c>
    </row>
    <row r="59" spans="1:34" ht="15.75" x14ac:dyDescent="0.25">
      <c r="A59" t="s">
        <v>95</v>
      </c>
      <c r="H59" t="s">
        <v>6</v>
      </c>
      <c r="I59" s="24">
        <v>0.5</v>
      </c>
      <c r="J59" s="18">
        <f t="shared" ref="J59:AH59" si="33">I59*(1+J12/100)</f>
        <v>0.51</v>
      </c>
      <c r="K59" s="15">
        <f t="shared" si="33"/>
        <v>0.5202</v>
      </c>
      <c r="L59" s="15">
        <f t="shared" si="33"/>
        <v>0.53060399999999996</v>
      </c>
      <c r="M59" s="15">
        <f t="shared" si="33"/>
        <v>0.54121607999999999</v>
      </c>
      <c r="N59" s="15">
        <f t="shared" si="33"/>
        <v>0.55204040160000001</v>
      </c>
      <c r="O59" s="15">
        <f t="shared" si="33"/>
        <v>0.56308120963200003</v>
      </c>
      <c r="P59" s="15">
        <f t="shared" si="33"/>
        <v>0.57434283382464002</v>
      </c>
      <c r="Q59" s="15">
        <f t="shared" si="33"/>
        <v>0.58582969050113287</v>
      </c>
      <c r="R59" s="15">
        <f t="shared" si="33"/>
        <v>0.59754628431115553</v>
      </c>
      <c r="S59" s="15">
        <f t="shared" si="33"/>
        <v>0.60949720999737866</v>
      </c>
      <c r="T59" s="15">
        <f t="shared" si="33"/>
        <v>0.62168715419732623</v>
      </c>
      <c r="U59" s="15">
        <f t="shared" si="33"/>
        <v>0.63412089728127274</v>
      </c>
      <c r="V59" s="15">
        <f t="shared" si="33"/>
        <v>0.64680331522689816</v>
      </c>
      <c r="W59" s="15">
        <f t="shared" si="33"/>
        <v>0.65973938153143619</v>
      </c>
      <c r="X59" s="15">
        <f t="shared" si="33"/>
        <v>0.67293416916206494</v>
      </c>
      <c r="Y59" s="15">
        <f t="shared" si="33"/>
        <v>0.68639285254530624</v>
      </c>
      <c r="Z59" s="15">
        <f t="shared" si="33"/>
        <v>0.70012070959621242</v>
      </c>
      <c r="AA59" s="15">
        <f t="shared" si="33"/>
        <v>0.71412312378813669</v>
      </c>
      <c r="AB59" s="15">
        <f t="shared" si="33"/>
        <v>0.7284055862638994</v>
      </c>
      <c r="AC59" s="15">
        <f t="shared" si="33"/>
        <v>0.74297369798917745</v>
      </c>
      <c r="AD59" s="15">
        <f t="shared" si="33"/>
        <v>0.75783317194896105</v>
      </c>
      <c r="AE59" s="15">
        <f t="shared" si="33"/>
        <v>0.77298983538794031</v>
      </c>
      <c r="AF59" s="15">
        <f t="shared" si="33"/>
        <v>0.78844963209569907</v>
      </c>
      <c r="AG59" s="15">
        <f t="shared" si="33"/>
        <v>0.80421862473761307</v>
      </c>
      <c r="AH59" s="16">
        <f t="shared" si="33"/>
        <v>0.82030299723236533</v>
      </c>
    </row>
    <row r="60" spans="1:34" x14ac:dyDescent="0.25">
      <c r="H60" t="s">
        <v>7</v>
      </c>
      <c r="I60">
        <v>0.5</v>
      </c>
      <c r="J60">
        <f>I60*(1+J13/100)</f>
        <v>0.51</v>
      </c>
      <c r="K60">
        <f t="shared" ref="K60:AC60" si="34">+J60*(1+K13/100)</f>
        <v>0.5202</v>
      </c>
      <c r="L60" s="1">
        <f t="shared" si="34"/>
        <v>0.53060399999999996</v>
      </c>
      <c r="M60" s="1">
        <f t="shared" si="34"/>
        <v>0.54121607999999999</v>
      </c>
      <c r="N60" s="1">
        <f t="shared" si="34"/>
        <v>0.55204040160000001</v>
      </c>
      <c r="O60" s="1">
        <f t="shared" si="34"/>
        <v>0.56308120963200003</v>
      </c>
      <c r="P60" s="1">
        <f t="shared" si="34"/>
        <v>0.57434283382464002</v>
      </c>
      <c r="Q60" s="1">
        <f t="shared" si="34"/>
        <v>0.58582969050113287</v>
      </c>
      <c r="R60" s="1">
        <f t="shared" si="34"/>
        <v>0.59754628431115553</v>
      </c>
      <c r="S60" s="1">
        <f t="shared" si="34"/>
        <v>0.60949720999737866</v>
      </c>
      <c r="T60" s="1">
        <f t="shared" si="34"/>
        <v>0.62168715419732623</v>
      </c>
      <c r="U60" s="1">
        <f t="shared" si="34"/>
        <v>0.63412089728127274</v>
      </c>
      <c r="V60" s="1">
        <f t="shared" si="34"/>
        <v>0.64680331522689816</v>
      </c>
      <c r="W60" s="1">
        <f t="shared" si="34"/>
        <v>0.65973938153143619</v>
      </c>
      <c r="X60" s="1">
        <f t="shared" si="34"/>
        <v>0.67293416916206494</v>
      </c>
      <c r="Y60" s="1">
        <f t="shared" si="34"/>
        <v>0.68639285254530624</v>
      </c>
      <c r="Z60" s="1">
        <f t="shared" si="34"/>
        <v>0.70012070959621242</v>
      </c>
      <c r="AA60" s="1">
        <f t="shared" si="34"/>
        <v>0.71412312378813669</v>
      </c>
      <c r="AB60" s="1">
        <f t="shared" si="34"/>
        <v>0.7284055862638994</v>
      </c>
      <c r="AC60" s="1">
        <f t="shared" si="34"/>
        <v>0.74297369798917745</v>
      </c>
      <c r="AD60">
        <v>0</v>
      </c>
      <c r="AE60">
        <v>0</v>
      </c>
      <c r="AF60">
        <v>0</v>
      </c>
      <c r="AG60">
        <v>0</v>
      </c>
      <c r="AH60">
        <v>0</v>
      </c>
    </row>
    <row r="61" spans="1:34" ht="15.75" x14ac:dyDescent="0.25">
      <c r="H61" t="s">
        <v>5</v>
      </c>
      <c r="I61" s="24">
        <v>4.17</v>
      </c>
      <c r="J61" s="17">
        <f t="shared" ref="J61:AH61" si="35">I61*(1+J12/100)</f>
        <v>4.2534000000000001</v>
      </c>
      <c r="K61" s="15">
        <f t="shared" si="35"/>
        <v>4.3384679999999998</v>
      </c>
      <c r="L61" s="15">
        <f t="shared" si="35"/>
        <v>4.4252373599999997</v>
      </c>
      <c r="M61" s="15">
        <f t="shared" si="35"/>
        <v>4.5137421071999997</v>
      </c>
      <c r="N61" s="15">
        <f t="shared" si="35"/>
        <v>4.6040169493439995</v>
      </c>
      <c r="O61" s="15">
        <f t="shared" si="35"/>
        <v>4.69609728833088</v>
      </c>
      <c r="P61" s="15">
        <f t="shared" si="35"/>
        <v>4.7900192340974979</v>
      </c>
      <c r="Q61" s="15">
        <f t="shared" si="35"/>
        <v>4.8858196187794478</v>
      </c>
      <c r="R61" s="15">
        <f t="shared" si="35"/>
        <v>4.9835360111550369</v>
      </c>
      <c r="S61" s="15">
        <f t="shared" si="35"/>
        <v>5.0832067313781373</v>
      </c>
      <c r="T61" s="15">
        <f t="shared" si="35"/>
        <v>5.1848708660057001</v>
      </c>
      <c r="U61" s="15">
        <f t="shared" si="35"/>
        <v>5.2885682833258141</v>
      </c>
      <c r="V61" s="15">
        <f t="shared" si="35"/>
        <v>5.3943396489923305</v>
      </c>
      <c r="W61" s="15">
        <f t="shared" si="35"/>
        <v>5.5022264419721774</v>
      </c>
      <c r="X61" s="15">
        <f t="shared" si="35"/>
        <v>5.612270970811621</v>
      </c>
      <c r="Y61" s="15">
        <f t="shared" si="35"/>
        <v>5.7245163902278531</v>
      </c>
      <c r="Z61" s="15">
        <f t="shared" si="35"/>
        <v>5.8390067180324099</v>
      </c>
      <c r="AA61" s="15">
        <f t="shared" si="35"/>
        <v>5.9557868523930582</v>
      </c>
      <c r="AB61" s="15">
        <f t="shared" si="35"/>
        <v>6.074902589440919</v>
      </c>
      <c r="AC61" s="15">
        <f t="shared" si="35"/>
        <v>6.1964006412297374</v>
      </c>
      <c r="AD61" s="15">
        <f t="shared" si="35"/>
        <v>6.3203286540543324</v>
      </c>
      <c r="AE61" s="15">
        <f t="shared" si="35"/>
        <v>6.4467352271354192</v>
      </c>
      <c r="AF61" s="15">
        <f t="shared" si="35"/>
        <v>6.575669931678128</v>
      </c>
      <c r="AG61" s="15">
        <f t="shared" si="35"/>
        <v>6.7071833303116906</v>
      </c>
      <c r="AH61" s="16">
        <f t="shared" si="35"/>
        <v>6.8413269969179247</v>
      </c>
    </row>
    <row r="62" spans="1:34" x14ac:dyDescent="0.25">
      <c r="H62" t="s">
        <v>25</v>
      </c>
      <c r="I62" s="1">
        <f>+I60*8.34</f>
        <v>4.17</v>
      </c>
      <c r="J62" s="1">
        <f>I62*(1+J13/100)</f>
        <v>4.2534000000000001</v>
      </c>
      <c r="K62" s="1">
        <f t="shared" ref="K62:AC62" si="36">+J62*(1+K13/100)</f>
        <v>4.3384679999999998</v>
      </c>
      <c r="L62" s="1">
        <f t="shared" si="36"/>
        <v>4.4252373599999997</v>
      </c>
      <c r="M62" s="1">
        <f t="shared" si="36"/>
        <v>4.5137421071999997</v>
      </c>
      <c r="N62" s="1">
        <f t="shared" si="36"/>
        <v>4.6040169493439995</v>
      </c>
      <c r="O62" s="1">
        <f t="shared" si="36"/>
        <v>4.69609728833088</v>
      </c>
      <c r="P62" s="1">
        <f t="shared" si="36"/>
        <v>4.7900192340974979</v>
      </c>
      <c r="Q62" s="1">
        <f t="shared" si="36"/>
        <v>4.8858196187794478</v>
      </c>
      <c r="R62" s="1">
        <f t="shared" si="36"/>
        <v>4.9835360111550369</v>
      </c>
      <c r="S62" s="1">
        <f t="shared" si="36"/>
        <v>5.0832067313781373</v>
      </c>
      <c r="T62" s="1">
        <f t="shared" si="36"/>
        <v>5.1848708660057001</v>
      </c>
      <c r="U62" s="1">
        <f t="shared" si="36"/>
        <v>5.2885682833258141</v>
      </c>
      <c r="V62" s="1">
        <f t="shared" si="36"/>
        <v>5.3943396489923305</v>
      </c>
      <c r="W62" s="1">
        <f t="shared" si="36"/>
        <v>5.5022264419721774</v>
      </c>
      <c r="X62" s="1">
        <f t="shared" si="36"/>
        <v>5.612270970811621</v>
      </c>
      <c r="Y62" s="1">
        <f t="shared" si="36"/>
        <v>5.7245163902278531</v>
      </c>
      <c r="Z62" s="1">
        <f t="shared" si="36"/>
        <v>5.8390067180324099</v>
      </c>
      <c r="AA62" s="1">
        <f t="shared" si="36"/>
        <v>5.9557868523930582</v>
      </c>
      <c r="AB62" s="1">
        <f t="shared" si="36"/>
        <v>6.074902589440919</v>
      </c>
      <c r="AC62" s="1">
        <f t="shared" si="36"/>
        <v>6.1964006412297374</v>
      </c>
      <c r="AD62">
        <v>0</v>
      </c>
      <c r="AE62">
        <v>0</v>
      </c>
      <c r="AF62">
        <v>0</v>
      </c>
      <c r="AG62">
        <v>0</v>
      </c>
      <c r="AH62">
        <v>0</v>
      </c>
    </row>
    <row r="64" spans="1:34" ht="15.75" x14ac:dyDescent="0.25">
      <c r="A64" t="s">
        <v>96</v>
      </c>
      <c r="H64" t="s">
        <v>6</v>
      </c>
      <c r="I64" s="24">
        <v>0.53</v>
      </c>
      <c r="J64" s="17">
        <f t="shared" ref="J64:AH64" si="37">I64*(1+J12/100)</f>
        <v>0.54060000000000008</v>
      </c>
      <c r="K64" s="15">
        <f t="shared" si="37"/>
        <v>0.55141200000000012</v>
      </c>
      <c r="L64" s="15">
        <f t="shared" si="37"/>
        <v>0.56244024000000015</v>
      </c>
      <c r="M64" s="15">
        <f t="shared" si="37"/>
        <v>0.57368904480000016</v>
      </c>
      <c r="N64" s="15">
        <f t="shared" si="37"/>
        <v>0.5851628256960002</v>
      </c>
      <c r="O64" s="15">
        <f t="shared" si="37"/>
        <v>0.59686608220992021</v>
      </c>
      <c r="P64" s="15">
        <f t="shared" si="37"/>
        <v>0.60880340385411857</v>
      </c>
      <c r="Q64" s="15">
        <f t="shared" si="37"/>
        <v>0.62097947193120095</v>
      </c>
      <c r="R64" s="15">
        <f t="shared" si="37"/>
        <v>0.63339906136982493</v>
      </c>
      <c r="S64" s="15">
        <f t="shared" si="37"/>
        <v>0.64606704259722147</v>
      </c>
      <c r="T64" s="15">
        <f t="shared" si="37"/>
        <v>0.65898838344916588</v>
      </c>
      <c r="U64" s="15">
        <f t="shared" si="37"/>
        <v>0.6721681511181492</v>
      </c>
      <c r="V64" s="15">
        <f t="shared" si="37"/>
        <v>0.68561151414051225</v>
      </c>
      <c r="W64" s="15">
        <f t="shared" si="37"/>
        <v>0.69932374442332246</v>
      </c>
      <c r="X64" s="15">
        <f t="shared" si="37"/>
        <v>0.71331021931178895</v>
      </c>
      <c r="Y64" s="15">
        <f t="shared" si="37"/>
        <v>0.72757642369802478</v>
      </c>
      <c r="Z64" s="15">
        <f t="shared" si="37"/>
        <v>0.74212795217198524</v>
      </c>
      <c r="AA64" s="15">
        <f t="shared" si="37"/>
        <v>0.75697051121542491</v>
      </c>
      <c r="AB64" s="15">
        <f t="shared" si="37"/>
        <v>0.77210992143973345</v>
      </c>
      <c r="AC64" s="15">
        <f t="shared" si="37"/>
        <v>0.78755211986852813</v>
      </c>
      <c r="AD64" s="15">
        <f t="shared" si="37"/>
        <v>0.80330316226589871</v>
      </c>
      <c r="AE64" s="15">
        <f t="shared" si="37"/>
        <v>0.81936922551121671</v>
      </c>
      <c r="AF64" s="15">
        <f t="shared" si="37"/>
        <v>0.83575661002144108</v>
      </c>
      <c r="AG64" s="15">
        <f t="shared" si="37"/>
        <v>0.85247174222186994</v>
      </c>
      <c r="AH64" s="16">
        <f t="shared" si="37"/>
        <v>0.86952117706630738</v>
      </c>
    </row>
    <row r="65" spans="1:34" x14ac:dyDescent="0.25">
      <c r="H65" t="s">
        <v>7</v>
      </c>
      <c r="I65">
        <v>0.53</v>
      </c>
      <c r="J65" s="1">
        <f>I65*(1+J13/100)</f>
        <v>0.54060000000000008</v>
      </c>
      <c r="K65" s="1">
        <f t="shared" ref="K65:AC65" si="38">+J65*(1+K13/100)</f>
        <v>0.55141200000000012</v>
      </c>
      <c r="L65" s="1">
        <f t="shared" si="38"/>
        <v>0.56244024000000015</v>
      </c>
      <c r="M65" s="1">
        <f t="shared" si="38"/>
        <v>0.57368904480000016</v>
      </c>
      <c r="N65" s="1">
        <f t="shared" si="38"/>
        <v>0.5851628256960002</v>
      </c>
      <c r="O65" s="1">
        <f t="shared" si="38"/>
        <v>0.59686608220992021</v>
      </c>
      <c r="P65" s="1">
        <f t="shared" si="38"/>
        <v>0.60880340385411857</v>
      </c>
      <c r="Q65" s="1">
        <f t="shared" si="38"/>
        <v>0.62097947193120095</v>
      </c>
      <c r="R65" s="1">
        <f t="shared" si="38"/>
        <v>0.63339906136982493</v>
      </c>
      <c r="S65" s="1">
        <f t="shared" si="38"/>
        <v>0.64606704259722147</v>
      </c>
      <c r="T65" s="1">
        <f t="shared" si="38"/>
        <v>0.65898838344916588</v>
      </c>
      <c r="U65" s="1">
        <f t="shared" si="38"/>
        <v>0.6721681511181492</v>
      </c>
      <c r="V65" s="1">
        <f t="shared" si="38"/>
        <v>0.68561151414051225</v>
      </c>
      <c r="W65" s="1">
        <f t="shared" si="38"/>
        <v>0.69932374442332246</v>
      </c>
      <c r="X65" s="1">
        <f t="shared" si="38"/>
        <v>0.71331021931178895</v>
      </c>
      <c r="Y65" s="1">
        <f t="shared" si="38"/>
        <v>0.72757642369802478</v>
      </c>
      <c r="Z65" s="1">
        <f t="shared" si="38"/>
        <v>0.74212795217198524</v>
      </c>
      <c r="AA65" s="1">
        <f t="shared" si="38"/>
        <v>0.75697051121542491</v>
      </c>
      <c r="AB65" s="1">
        <f t="shared" si="38"/>
        <v>0.77210992143973345</v>
      </c>
      <c r="AC65" s="1">
        <f t="shared" si="38"/>
        <v>0.78755211986852813</v>
      </c>
      <c r="AD65">
        <v>0</v>
      </c>
      <c r="AE65">
        <v>0</v>
      </c>
      <c r="AF65">
        <v>0</v>
      </c>
      <c r="AG65">
        <v>0</v>
      </c>
      <c r="AH65">
        <v>0</v>
      </c>
    </row>
    <row r="66" spans="1:34" ht="15.75" x14ac:dyDescent="0.25">
      <c r="H66" t="s">
        <v>5</v>
      </c>
      <c r="I66" s="24">
        <v>4.42</v>
      </c>
      <c r="J66" s="17">
        <f t="shared" ref="J66:AH66" si="39">I66*(1+J12/100)</f>
        <v>4.5084</v>
      </c>
      <c r="K66" s="15">
        <f t="shared" si="39"/>
        <v>4.5985680000000002</v>
      </c>
      <c r="L66" s="15">
        <f t="shared" si="39"/>
        <v>4.6905393600000007</v>
      </c>
      <c r="M66" s="15">
        <f t="shared" si="39"/>
        <v>4.7843501472000005</v>
      </c>
      <c r="N66" s="15">
        <f t="shared" si="39"/>
        <v>4.880037150144001</v>
      </c>
      <c r="O66" s="15">
        <f t="shared" si="39"/>
        <v>4.9776378931468814</v>
      </c>
      <c r="P66" s="15">
        <f t="shared" si="39"/>
        <v>5.0771906510098193</v>
      </c>
      <c r="Q66" s="15">
        <f t="shared" si="39"/>
        <v>5.1787344640300157</v>
      </c>
      <c r="R66" s="15">
        <f t="shared" si="39"/>
        <v>5.2823091533106163</v>
      </c>
      <c r="S66" s="15">
        <f t="shared" si="39"/>
        <v>5.3879553363768284</v>
      </c>
      <c r="T66" s="15">
        <f t="shared" si="39"/>
        <v>5.4957144431043652</v>
      </c>
      <c r="U66" s="15">
        <f t="shared" si="39"/>
        <v>5.6056287319664522</v>
      </c>
      <c r="V66" s="15">
        <f t="shared" si="39"/>
        <v>5.7177413066057809</v>
      </c>
      <c r="W66" s="15">
        <f t="shared" si="39"/>
        <v>5.8320961327378971</v>
      </c>
      <c r="X66" s="15">
        <f t="shared" si="39"/>
        <v>5.9487380553926554</v>
      </c>
      <c r="Y66" s="15">
        <f t="shared" si="39"/>
        <v>6.0677128165005083</v>
      </c>
      <c r="Z66" s="15">
        <f t="shared" si="39"/>
        <v>6.1890670728305182</v>
      </c>
      <c r="AA66" s="15">
        <f t="shared" si="39"/>
        <v>6.3128484142871288</v>
      </c>
      <c r="AB66" s="15">
        <f t="shared" si="39"/>
        <v>6.4391053825728717</v>
      </c>
      <c r="AC66" s="15">
        <f t="shared" si="39"/>
        <v>6.5678874902243294</v>
      </c>
      <c r="AD66" s="15">
        <f t="shared" si="39"/>
        <v>6.6992452400288158</v>
      </c>
      <c r="AE66" s="15">
        <f t="shared" si="39"/>
        <v>6.8332301448293924</v>
      </c>
      <c r="AF66" s="15">
        <f t="shared" si="39"/>
        <v>6.9698947477259807</v>
      </c>
      <c r="AG66" s="15">
        <f t="shared" si="39"/>
        <v>7.1092926426805008</v>
      </c>
      <c r="AH66" s="16">
        <f t="shared" si="39"/>
        <v>7.2514784955341112</v>
      </c>
    </row>
    <row r="67" spans="1:34" x14ac:dyDescent="0.25">
      <c r="H67" t="s">
        <v>25</v>
      </c>
      <c r="I67" s="1">
        <f>+I65*8.34</f>
        <v>4.4202000000000004</v>
      </c>
      <c r="J67" s="1">
        <f>I67*(1+J13/100)</f>
        <v>4.5086040000000001</v>
      </c>
      <c r="K67" s="1">
        <f t="shared" ref="K67:AC67" si="40">+J67*(1+K13/100)</f>
        <v>4.5987760800000004</v>
      </c>
      <c r="L67" s="1">
        <f t="shared" si="40"/>
        <v>4.6907516016000006</v>
      </c>
      <c r="M67" s="1">
        <f t="shared" si="40"/>
        <v>4.784566633632001</v>
      </c>
      <c r="N67" s="1">
        <f t="shared" si="40"/>
        <v>4.880257966304641</v>
      </c>
      <c r="O67" s="1">
        <f t="shared" si="40"/>
        <v>4.9778631256307335</v>
      </c>
      <c r="P67" s="1">
        <f t="shared" si="40"/>
        <v>5.0774203881433486</v>
      </c>
      <c r="Q67" s="1">
        <f t="shared" si="40"/>
        <v>5.1789687959062158</v>
      </c>
      <c r="R67" s="1">
        <f t="shared" si="40"/>
        <v>5.2825481718243399</v>
      </c>
      <c r="S67" s="1">
        <f t="shared" si="40"/>
        <v>5.3881991352608267</v>
      </c>
      <c r="T67" s="1">
        <f t="shared" si="40"/>
        <v>5.4959631179660438</v>
      </c>
      <c r="U67" s="1">
        <f t="shared" si="40"/>
        <v>5.6058823803253643</v>
      </c>
      <c r="V67" s="1">
        <f t="shared" si="40"/>
        <v>5.7180000279318719</v>
      </c>
      <c r="W67" s="1">
        <f t="shared" si="40"/>
        <v>5.8323600284905091</v>
      </c>
      <c r="X67" s="1">
        <f t="shared" si="40"/>
        <v>5.9490072290603191</v>
      </c>
      <c r="Y67" s="1">
        <f t="shared" si="40"/>
        <v>6.0679873736415253</v>
      </c>
      <c r="Z67" s="1">
        <f t="shared" si="40"/>
        <v>6.1893471211143556</v>
      </c>
      <c r="AA67" s="1">
        <f t="shared" si="40"/>
        <v>6.3131340635366424</v>
      </c>
      <c r="AB67" s="1">
        <f t="shared" si="40"/>
        <v>6.4393967448073752</v>
      </c>
      <c r="AC67" s="1">
        <f t="shared" si="40"/>
        <v>6.5681846797035233</v>
      </c>
      <c r="AD67">
        <v>0</v>
      </c>
      <c r="AE67">
        <v>0</v>
      </c>
      <c r="AF67">
        <v>0</v>
      </c>
      <c r="AG67">
        <v>0</v>
      </c>
      <c r="AH67">
        <v>0</v>
      </c>
    </row>
    <row r="68" spans="1:34" x14ac:dyDescent="0.25">
      <c r="A68" t="s">
        <v>27</v>
      </c>
    </row>
    <row r="69" spans="1:34" s="25" customFormat="1" x14ac:dyDescent="0.25">
      <c r="A69" s="25" t="s">
        <v>42</v>
      </c>
      <c r="H69" s="25" t="s">
        <v>6</v>
      </c>
      <c r="I69" s="52">
        <f t="shared" ref="I69:AH69" si="41">+I44+I49+I54+I59+I64</f>
        <v>5.31</v>
      </c>
      <c r="J69" s="53">
        <f t="shared" si="41"/>
        <v>5.4161999999999999</v>
      </c>
      <c r="K69" s="53">
        <f t="shared" si="41"/>
        <v>5.5245239999999995</v>
      </c>
      <c r="L69" s="53">
        <f t="shared" si="41"/>
        <v>5.6350144800000006</v>
      </c>
      <c r="M69" s="53">
        <f t="shared" si="41"/>
        <v>5.7477147695999999</v>
      </c>
      <c r="N69" s="53">
        <f t="shared" si="41"/>
        <v>5.8626690649920006</v>
      </c>
      <c r="O69" s="53">
        <f t="shared" si="41"/>
        <v>5.9799224462918401</v>
      </c>
      <c r="P69" s="53">
        <f t="shared" si="41"/>
        <v>6.0995208952176778</v>
      </c>
      <c r="Q69" s="53">
        <f t="shared" si="41"/>
        <v>6.2215113131220319</v>
      </c>
      <c r="R69" s="53">
        <f t="shared" si="41"/>
        <v>6.3459415393844711</v>
      </c>
      <c r="S69" s="53">
        <f t="shared" si="41"/>
        <v>6.4728603701721612</v>
      </c>
      <c r="T69" s="53">
        <f t="shared" si="41"/>
        <v>6.6023175775756053</v>
      </c>
      <c r="U69" s="53">
        <f t="shared" si="41"/>
        <v>6.7343639291271167</v>
      </c>
      <c r="V69" s="53">
        <f t="shared" si="41"/>
        <v>6.869051207709659</v>
      </c>
      <c r="W69" s="53">
        <f t="shared" si="41"/>
        <v>7.0064322318638519</v>
      </c>
      <c r="X69" s="53">
        <f t="shared" si="41"/>
        <v>7.1465608765011295</v>
      </c>
      <c r="Y69" s="53">
        <f t="shared" si="41"/>
        <v>7.2894920940311518</v>
      </c>
      <c r="Z69" s="53">
        <f t="shared" si="41"/>
        <v>7.4352819359117746</v>
      </c>
      <c r="AA69" s="53">
        <f t="shared" si="41"/>
        <v>7.5839875746300116</v>
      </c>
      <c r="AB69" s="53">
        <f t="shared" si="41"/>
        <v>7.735667326122611</v>
      </c>
      <c r="AC69" s="53">
        <f t="shared" si="41"/>
        <v>7.8903806726450645</v>
      </c>
      <c r="AD69" s="53">
        <f t="shared" si="41"/>
        <v>8.0481882860979663</v>
      </c>
      <c r="AE69" s="53">
        <f t="shared" si="41"/>
        <v>8.2091520518199239</v>
      </c>
      <c r="AF69" s="53">
        <f t="shared" si="41"/>
        <v>8.3733350928563244</v>
      </c>
      <c r="AG69" s="53">
        <f t="shared" si="41"/>
        <v>8.5408017947134507</v>
      </c>
      <c r="AH69" s="54">
        <f t="shared" si="41"/>
        <v>8.7116178306077199</v>
      </c>
    </row>
    <row r="70" spans="1:34" x14ac:dyDescent="0.25">
      <c r="H70" t="s">
        <v>7</v>
      </c>
      <c r="I70" s="49">
        <f t="shared" ref="I70:AC70" si="42">+I45+I50+I55+I60+I65</f>
        <v>5.31</v>
      </c>
      <c r="J70" s="49">
        <f t="shared" si="42"/>
        <v>5.4161999999999999</v>
      </c>
      <c r="K70" s="49">
        <f t="shared" si="42"/>
        <v>5.5245239999999995</v>
      </c>
      <c r="L70" s="49">
        <f t="shared" si="42"/>
        <v>5.6350144800000006</v>
      </c>
      <c r="M70" s="49">
        <f t="shared" si="42"/>
        <v>5.7477147695999999</v>
      </c>
      <c r="N70" s="49">
        <f t="shared" si="42"/>
        <v>5.8626690649920006</v>
      </c>
      <c r="O70" s="49">
        <f t="shared" si="42"/>
        <v>5.9799224462918401</v>
      </c>
      <c r="P70" s="49">
        <f t="shared" si="42"/>
        <v>6.0995208952176778</v>
      </c>
      <c r="Q70" s="49">
        <f t="shared" si="42"/>
        <v>6.2215113131220319</v>
      </c>
      <c r="R70" s="49">
        <f t="shared" si="42"/>
        <v>6.3459415393844711</v>
      </c>
      <c r="S70" s="49">
        <f t="shared" si="42"/>
        <v>6.4728603701721612</v>
      </c>
      <c r="T70" s="49">
        <f t="shared" si="42"/>
        <v>6.6023175775756053</v>
      </c>
      <c r="U70" s="49">
        <f t="shared" si="42"/>
        <v>6.7343639291271167</v>
      </c>
      <c r="V70" s="49">
        <f t="shared" si="42"/>
        <v>6.869051207709659</v>
      </c>
      <c r="W70" s="49">
        <f t="shared" si="42"/>
        <v>7.0064322318638519</v>
      </c>
      <c r="X70" s="49">
        <f t="shared" si="42"/>
        <v>7.1465608765011295</v>
      </c>
      <c r="Y70" s="49">
        <f t="shared" si="42"/>
        <v>7.2894920940311518</v>
      </c>
      <c r="Z70" s="49">
        <f t="shared" si="42"/>
        <v>7.4352819359117746</v>
      </c>
      <c r="AA70" s="49">
        <f t="shared" si="42"/>
        <v>7.5839875746300116</v>
      </c>
      <c r="AB70" s="49">
        <f t="shared" si="42"/>
        <v>7.735667326122611</v>
      </c>
      <c r="AC70" s="49">
        <f t="shared" si="42"/>
        <v>7.8903806726450645</v>
      </c>
      <c r="AD70" s="49">
        <v>0</v>
      </c>
      <c r="AE70" s="49">
        <v>0</v>
      </c>
      <c r="AF70" s="49">
        <v>0</v>
      </c>
      <c r="AG70" s="49">
        <v>0</v>
      </c>
      <c r="AH70" s="49">
        <v>0</v>
      </c>
    </row>
    <row r="71" spans="1:34" s="25" customFormat="1" x14ac:dyDescent="0.25">
      <c r="H71" s="25" t="s">
        <v>5</v>
      </c>
      <c r="I71" s="55">
        <f t="shared" ref="I71:AC71" si="43">+I46+I51+I56+I61+I66</f>
        <v>44.290000000000006</v>
      </c>
      <c r="J71" s="56">
        <f t="shared" si="43"/>
        <v>45.175800000000002</v>
      </c>
      <c r="K71" s="56">
        <f t="shared" si="43"/>
        <v>46.079315999999999</v>
      </c>
      <c r="L71" s="56">
        <f t="shared" si="43"/>
        <v>47.000902320000002</v>
      </c>
      <c r="M71" s="56">
        <f t="shared" si="43"/>
        <v>47.940920366400007</v>
      </c>
      <c r="N71" s="56">
        <f t="shared" si="43"/>
        <v>48.899738773728004</v>
      </c>
      <c r="O71" s="56">
        <f t="shared" si="43"/>
        <v>49.877733549202574</v>
      </c>
      <c r="P71" s="56">
        <f t="shared" si="43"/>
        <v>50.875288220186626</v>
      </c>
      <c r="Q71" s="56">
        <f t="shared" si="43"/>
        <v>51.892793984590355</v>
      </c>
      <c r="R71" s="56">
        <f t="shared" si="43"/>
        <v>52.930649864282167</v>
      </c>
      <c r="S71" s="56">
        <f t="shared" si="43"/>
        <v>53.989262861567802</v>
      </c>
      <c r="T71" s="56">
        <f t="shared" si="43"/>
        <v>55.069048118799174</v>
      </c>
      <c r="U71" s="56">
        <f t="shared" si="43"/>
        <v>56.170429081175158</v>
      </c>
      <c r="V71" s="56">
        <f t="shared" si="43"/>
        <v>57.293837662798651</v>
      </c>
      <c r="W71" s="56">
        <f t="shared" si="43"/>
        <v>58.43971441605462</v>
      </c>
      <c r="X71" s="56">
        <f t="shared" si="43"/>
        <v>59.608508704375716</v>
      </c>
      <c r="Y71" s="56">
        <f t="shared" si="43"/>
        <v>60.800678878463238</v>
      </c>
      <c r="Z71" s="56">
        <f t="shared" si="43"/>
        <v>62.016692456032494</v>
      </c>
      <c r="AA71" s="56">
        <f t="shared" si="43"/>
        <v>63.257026305153161</v>
      </c>
      <c r="AB71" s="56">
        <f t="shared" si="43"/>
        <v>64.522166831256214</v>
      </c>
      <c r="AC71" s="56">
        <f t="shared" si="43"/>
        <v>65.812610167881346</v>
      </c>
      <c r="AD71" s="56">
        <f>+AD46+AD51+AD56+AD61+AD66</f>
        <v>67.128862371238981</v>
      </c>
      <c r="AE71" s="56">
        <f>+AE46+AE51+AE56+AE61+AE66</f>
        <v>68.471439618663752</v>
      </c>
      <c r="AF71" s="56">
        <f>+AF46+AF51+AF56+AF61+AF66</f>
        <v>69.840868411037036</v>
      </c>
      <c r="AG71" s="56">
        <f>+AG46+AG51+AG56+AG61+AG66</f>
        <v>71.237685779257774</v>
      </c>
      <c r="AH71" s="57">
        <f>+AH46+AH51+AH56+AH61+AH66</f>
        <v>72.662439494842943</v>
      </c>
    </row>
    <row r="72" spans="1:34" x14ac:dyDescent="0.25">
      <c r="H72" t="s">
        <v>25</v>
      </c>
      <c r="I72">
        <f t="shared" ref="I72:AC72" si="44">+I47+I52+I57+I62+I67</f>
        <v>44.285400000000003</v>
      </c>
      <c r="J72">
        <f t="shared" si="44"/>
        <v>45.171107999999997</v>
      </c>
      <c r="K72">
        <f t="shared" si="44"/>
        <v>46.074530159999995</v>
      </c>
      <c r="L72">
        <f t="shared" si="44"/>
        <v>46.996020763199994</v>
      </c>
      <c r="M72">
        <f t="shared" si="44"/>
        <v>47.935941178464006</v>
      </c>
      <c r="N72">
        <f t="shared" si="44"/>
        <v>48.894660002033284</v>
      </c>
      <c r="O72">
        <f t="shared" si="44"/>
        <v>49.872553202073952</v>
      </c>
      <c r="P72">
        <f t="shared" si="44"/>
        <v>50.87000426611543</v>
      </c>
      <c r="Q72">
        <f t="shared" si="44"/>
        <v>51.887404351437745</v>
      </c>
      <c r="R72">
        <f t="shared" si="44"/>
        <v>52.92515243846649</v>
      </c>
      <c r="S72">
        <f t="shared" si="44"/>
        <v>53.983655487235829</v>
      </c>
      <c r="T72">
        <f t="shared" si="44"/>
        <v>55.06332859698054</v>
      </c>
      <c r="U72">
        <f t="shared" si="44"/>
        <v>56.164595168920151</v>
      </c>
      <c r="V72">
        <f t="shared" si="44"/>
        <v>57.287887072298552</v>
      </c>
      <c r="W72">
        <f t="shared" si="44"/>
        <v>58.433644813744522</v>
      </c>
      <c r="X72">
        <f t="shared" si="44"/>
        <v>59.60231771001942</v>
      </c>
      <c r="Y72">
        <f t="shared" si="44"/>
        <v>60.794364064219806</v>
      </c>
      <c r="Z72">
        <f t="shared" si="44"/>
        <v>62.010251345504201</v>
      </c>
      <c r="AA72">
        <f t="shared" si="44"/>
        <v>63.250456372414291</v>
      </c>
      <c r="AB72">
        <f t="shared" si="44"/>
        <v>64.515465499862557</v>
      </c>
      <c r="AC72">
        <f t="shared" si="44"/>
        <v>65.805774809859827</v>
      </c>
      <c r="AD72">
        <v>0</v>
      </c>
      <c r="AE72">
        <v>0</v>
      </c>
      <c r="AF72">
        <v>0</v>
      </c>
      <c r="AG72">
        <v>0</v>
      </c>
      <c r="AH72">
        <v>0</v>
      </c>
    </row>
    <row r="73" spans="1:34" ht="15.75" thickBot="1" x14ac:dyDescent="0.3"/>
    <row r="74" spans="1:34" ht="16.5" thickTop="1" thickBot="1" x14ac:dyDescent="0.3">
      <c r="A74" t="s">
        <v>46</v>
      </c>
      <c r="I74" t="s">
        <v>27</v>
      </c>
      <c r="J74" s="9">
        <f>VLOOKUP(A75,FieldMaintTable,2,FALSE)</f>
        <v>100</v>
      </c>
      <c r="K74" s="2">
        <f t="shared" ref="K74:AH74" si="45">+J74</f>
        <v>100</v>
      </c>
      <c r="L74" s="2">
        <f t="shared" si="45"/>
        <v>100</v>
      </c>
      <c r="M74" s="2">
        <f t="shared" si="45"/>
        <v>100</v>
      </c>
      <c r="N74" s="2">
        <f t="shared" si="45"/>
        <v>100</v>
      </c>
      <c r="O74" s="2">
        <f t="shared" si="45"/>
        <v>100</v>
      </c>
      <c r="P74" s="2">
        <f t="shared" si="45"/>
        <v>100</v>
      </c>
      <c r="Q74" s="2">
        <f t="shared" si="45"/>
        <v>100</v>
      </c>
      <c r="R74" s="2">
        <f t="shared" si="45"/>
        <v>100</v>
      </c>
      <c r="S74" s="2">
        <f t="shared" si="45"/>
        <v>100</v>
      </c>
      <c r="T74" s="2">
        <f t="shared" si="45"/>
        <v>100</v>
      </c>
      <c r="U74" s="2">
        <f t="shared" si="45"/>
        <v>100</v>
      </c>
      <c r="V74" s="2">
        <f t="shared" si="45"/>
        <v>100</v>
      </c>
      <c r="W74" s="2">
        <f t="shared" si="45"/>
        <v>100</v>
      </c>
      <c r="X74" s="2">
        <f t="shared" si="45"/>
        <v>100</v>
      </c>
      <c r="Y74" s="2">
        <f t="shared" si="45"/>
        <v>100</v>
      </c>
      <c r="Z74" s="2">
        <f t="shared" si="45"/>
        <v>100</v>
      </c>
      <c r="AA74" s="2">
        <f t="shared" si="45"/>
        <v>100</v>
      </c>
      <c r="AB74" s="2">
        <f t="shared" si="45"/>
        <v>100</v>
      </c>
      <c r="AC74" s="2">
        <f t="shared" si="45"/>
        <v>100</v>
      </c>
      <c r="AD74" s="2">
        <f t="shared" si="45"/>
        <v>100</v>
      </c>
      <c r="AE74" s="2">
        <f t="shared" si="45"/>
        <v>100</v>
      </c>
      <c r="AF74" s="2">
        <f t="shared" si="45"/>
        <v>100</v>
      </c>
      <c r="AG74" s="2">
        <f t="shared" si="45"/>
        <v>100</v>
      </c>
      <c r="AH74" s="2">
        <f t="shared" si="45"/>
        <v>100</v>
      </c>
    </row>
    <row r="75" spans="1:34" ht="16.5" thickTop="1" x14ac:dyDescent="0.25">
      <c r="A75" s="93" t="s">
        <v>45</v>
      </c>
      <c r="B75" s="93"/>
      <c r="C75" s="93"/>
      <c r="D75" s="93"/>
      <c r="E75" s="93"/>
      <c r="F75" s="93"/>
      <c r="H75" t="s">
        <v>3</v>
      </c>
      <c r="I75">
        <v>100</v>
      </c>
      <c r="J75">
        <v>100</v>
      </c>
      <c r="K75">
        <v>100</v>
      </c>
      <c r="L75">
        <v>100</v>
      </c>
      <c r="M75">
        <v>100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  <c r="W75">
        <v>100</v>
      </c>
      <c r="X75">
        <v>100</v>
      </c>
      <c r="Y75">
        <v>100</v>
      </c>
      <c r="Z75">
        <v>100</v>
      </c>
      <c r="AA75">
        <v>100</v>
      </c>
      <c r="AB75">
        <v>100</v>
      </c>
      <c r="AC75">
        <v>100</v>
      </c>
      <c r="AD75">
        <v>100</v>
      </c>
      <c r="AE75">
        <v>100</v>
      </c>
      <c r="AF75">
        <v>100</v>
      </c>
      <c r="AG75">
        <v>100</v>
      </c>
      <c r="AH75">
        <v>100</v>
      </c>
    </row>
    <row r="77" spans="1:34" x14ac:dyDescent="0.25">
      <c r="A77" s="25" t="s">
        <v>17</v>
      </c>
      <c r="H77" t="s">
        <v>6</v>
      </c>
      <c r="I77">
        <f>+I69*I75</f>
        <v>531</v>
      </c>
      <c r="J77" s="14">
        <f t="shared" ref="J77:AH77" si="46">+J69*J74</f>
        <v>541.62</v>
      </c>
      <c r="K77" s="15">
        <f t="shared" si="46"/>
        <v>552.4523999999999</v>
      </c>
      <c r="L77" s="15">
        <f t="shared" si="46"/>
        <v>563.5014480000001</v>
      </c>
      <c r="M77" s="15">
        <f t="shared" si="46"/>
        <v>574.77147695999997</v>
      </c>
      <c r="N77" s="15">
        <f t="shared" si="46"/>
        <v>586.2669064992001</v>
      </c>
      <c r="O77" s="15">
        <f t="shared" si="46"/>
        <v>597.99224462918403</v>
      </c>
      <c r="P77" s="15">
        <f t="shared" si="46"/>
        <v>609.95208952176779</v>
      </c>
      <c r="Q77" s="15">
        <f t="shared" si="46"/>
        <v>622.15113131220323</v>
      </c>
      <c r="R77" s="15">
        <f t="shared" si="46"/>
        <v>634.59415393844711</v>
      </c>
      <c r="S77" s="15">
        <f t="shared" si="46"/>
        <v>647.28603701721613</v>
      </c>
      <c r="T77" s="15">
        <f t="shared" si="46"/>
        <v>660.23175775756056</v>
      </c>
      <c r="U77" s="15">
        <f t="shared" si="46"/>
        <v>673.43639291271165</v>
      </c>
      <c r="V77" s="15">
        <f t="shared" si="46"/>
        <v>686.90512077096594</v>
      </c>
      <c r="W77" s="15">
        <f t="shared" si="46"/>
        <v>700.64322318638517</v>
      </c>
      <c r="X77" s="15">
        <f t="shared" si="46"/>
        <v>714.65608765011291</v>
      </c>
      <c r="Y77" s="15">
        <f t="shared" si="46"/>
        <v>728.94920940311522</v>
      </c>
      <c r="Z77" s="15">
        <f t="shared" si="46"/>
        <v>743.52819359117746</v>
      </c>
      <c r="AA77" s="15">
        <f t="shared" si="46"/>
        <v>758.39875746300117</v>
      </c>
      <c r="AB77" s="15">
        <f t="shared" si="46"/>
        <v>773.56673261226115</v>
      </c>
      <c r="AC77" s="15">
        <f t="shared" si="46"/>
        <v>789.03806726450648</v>
      </c>
      <c r="AD77" s="15">
        <f t="shared" si="46"/>
        <v>804.81882860979658</v>
      </c>
      <c r="AE77" s="15">
        <f t="shared" si="46"/>
        <v>820.91520518199241</v>
      </c>
      <c r="AF77" s="15">
        <f t="shared" si="46"/>
        <v>837.33350928563243</v>
      </c>
      <c r="AG77" s="15">
        <f t="shared" si="46"/>
        <v>854.0801794713451</v>
      </c>
      <c r="AH77" s="16">
        <f t="shared" si="46"/>
        <v>871.161783060772</v>
      </c>
    </row>
    <row r="78" spans="1:34" x14ac:dyDescent="0.25">
      <c r="A78" s="25"/>
      <c r="H78" t="s">
        <v>7</v>
      </c>
      <c r="I78">
        <f t="shared" ref="I78:AC78" si="47">+I70*I75</f>
        <v>531</v>
      </c>
      <c r="J78" s="1">
        <f t="shared" si="47"/>
        <v>541.62</v>
      </c>
      <c r="K78" s="1">
        <f t="shared" si="47"/>
        <v>552.4523999999999</v>
      </c>
      <c r="L78" s="1">
        <f t="shared" si="47"/>
        <v>563.5014480000001</v>
      </c>
      <c r="M78" s="1">
        <f t="shared" si="47"/>
        <v>574.77147695999997</v>
      </c>
      <c r="N78" s="1">
        <f t="shared" si="47"/>
        <v>586.2669064992001</v>
      </c>
      <c r="O78" s="1">
        <f t="shared" si="47"/>
        <v>597.99224462918403</v>
      </c>
      <c r="P78" s="1">
        <f t="shared" si="47"/>
        <v>609.95208952176779</v>
      </c>
      <c r="Q78" s="1">
        <f t="shared" si="47"/>
        <v>622.15113131220323</v>
      </c>
      <c r="R78" s="1">
        <f t="shared" si="47"/>
        <v>634.59415393844711</v>
      </c>
      <c r="S78" s="1">
        <f t="shared" si="47"/>
        <v>647.28603701721613</v>
      </c>
      <c r="T78" s="1">
        <f t="shared" si="47"/>
        <v>660.23175775756056</v>
      </c>
      <c r="U78" s="1">
        <f t="shared" si="47"/>
        <v>673.43639291271165</v>
      </c>
      <c r="V78" s="1">
        <f t="shared" si="47"/>
        <v>686.90512077096594</v>
      </c>
      <c r="W78" s="1">
        <f t="shared" si="47"/>
        <v>700.64322318638517</v>
      </c>
      <c r="X78" s="1">
        <f t="shared" si="47"/>
        <v>714.65608765011291</v>
      </c>
      <c r="Y78" s="1">
        <f t="shared" si="47"/>
        <v>728.94920940311522</v>
      </c>
      <c r="Z78" s="1">
        <f t="shared" si="47"/>
        <v>743.52819359117746</v>
      </c>
      <c r="AA78" s="1">
        <f t="shared" si="47"/>
        <v>758.39875746300117</v>
      </c>
      <c r="AB78" s="1">
        <f t="shared" si="47"/>
        <v>773.56673261226115</v>
      </c>
      <c r="AC78" s="1">
        <f t="shared" si="47"/>
        <v>789.03806726450648</v>
      </c>
      <c r="AD78">
        <v>0</v>
      </c>
      <c r="AE78">
        <v>0</v>
      </c>
      <c r="AF78">
        <v>0</v>
      </c>
      <c r="AG78">
        <v>0</v>
      </c>
      <c r="AH78">
        <v>0</v>
      </c>
    </row>
    <row r="79" spans="1:34" x14ac:dyDescent="0.25">
      <c r="A79" s="25"/>
      <c r="H79" t="s">
        <v>5</v>
      </c>
      <c r="I79" s="3">
        <f>+I71*I75</f>
        <v>4429.0000000000009</v>
      </c>
      <c r="J79" s="14">
        <f t="shared" ref="J79:AH79" si="48">+J71*J74</f>
        <v>4517.58</v>
      </c>
      <c r="K79" s="15">
        <f t="shared" si="48"/>
        <v>4607.9315999999999</v>
      </c>
      <c r="L79" s="15">
        <f t="shared" si="48"/>
        <v>4700.0902320000005</v>
      </c>
      <c r="M79" s="15">
        <f t="shared" si="48"/>
        <v>4794.0920366400005</v>
      </c>
      <c r="N79" s="15">
        <f t="shared" si="48"/>
        <v>4889.9738773728004</v>
      </c>
      <c r="O79" s="15">
        <f t="shared" si="48"/>
        <v>4987.7733549202576</v>
      </c>
      <c r="P79" s="15">
        <f t="shared" si="48"/>
        <v>5087.5288220186621</v>
      </c>
      <c r="Q79" s="15">
        <f t="shared" si="48"/>
        <v>5189.2793984590353</v>
      </c>
      <c r="R79" s="15">
        <f t="shared" si="48"/>
        <v>5293.0649864282168</v>
      </c>
      <c r="S79" s="15">
        <f t="shared" si="48"/>
        <v>5398.9262861567804</v>
      </c>
      <c r="T79" s="15">
        <f t="shared" si="48"/>
        <v>5506.9048118799174</v>
      </c>
      <c r="U79" s="15">
        <f t="shared" si="48"/>
        <v>5617.0429081175162</v>
      </c>
      <c r="V79" s="15">
        <f t="shared" si="48"/>
        <v>5729.3837662798651</v>
      </c>
      <c r="W79" s="15">
        <f t="shared" si="48"/>
        <v>5843.9714416054621</v>
      </c>
      <c r="X79" s="15">
        <f t="shared" si="48"/>
        <v>5960.8508704375718</v>
      </c>
      <c r="Y79" s="15">
        <f t="shared" si="48"/>
        <v>6080.0678878463241</v>
      </c>
      <c r="Z79" s="15">
        <f t="shared" si="48"/>
        <v>6201.6692456032497</v>
      </c>
      <c r="AA79" s="15">
        <f t="shared" si="48"/>
        <v>6325.7026305153158</v>
      </c>
      <c r="AB79" s="15">
        <f t="shared" si="48"/>
        <v>6452.2166831256218</v>
      </c>
      <c r="AC79" s="15">
        <f t="shared" si="48"/>
        <v>6581.2610167881348</v>
      </c>
      <c r="AD79" s="15">
        <f t="shared" si="48"/>
        <v>6712.8862371238984</v>
      </c>
      <c r="AE79" s="15">
        <f t="shared" si="48"/>
        <v>6847.1439618663753</v>
      </c>
      <c r="AF79" s="15">
        <f t="shared" si="48"/>
        <v>6984.0868411037036</v>
      </c>
      <c r="AG79" s="15">
        <f t="shared" si="48"/>
        <v>7123.7685779257772</v>
      </c>
      <c r="AH79" s="16">
        <f t="shared" si="48"/>
        <v>7266.2439494842947</v>
      </c>
    </row>
    <row r="80" spans="1:34" x14ac:dyDescent="0.25">
      <c r="A80" s="25"/>
      <c r="H80" t="s">
        <v>25</v>
      </c>
      <c r="I80">
        <f t="shared" ref="I80:AC80" si="49">+I72*I75</f>
        <v>4428.54</v>
      </c>
      <c r="J80" s="1">
        <f t="shared" si="49"/>
        <v>4517.1107999999995</v>
      </c>
      <c r="K80" s="1">
        <f t="shared" si="49"/>
        <v>4607.4530159999995</v>
      </c>
      <c r="L80" s="1">
        <f t="shared" si="49"/>
        <v>4699.6020763199995</v>
      </c>
      <c r="M80" s="1">
        <f t="shared" si="49"/>
        <v>4793.5941178464009</v>
      </c>
      <c r="N80" s="1">
        <f t="shared" si="49"/>
        <v>4889.4660002033288</v>
      </c>
      <c r="O80" s="1">
        <f t="shared" si="49"/>
        <v>4987.255320207395</v>
      </c>
      <c r="P80" s="1">
        <f t="shared" si="49"/>
        <v>5087.0004266115429</v>
      </c>
      <c r="Q80" s="1">
        <f t="shared" si="49"/>
        <v>5188.7404351437744</v>
      </c>
      <c r="R80" s="1">
        <f t="shared" si="49"/>
        <v>5292.5152438466494</v>
      </c>
      <c r="S80" s="1">
        <f t="shared" si="49"/>
        <v>5398.3655487235828</v>
      </c>
      <c r="T80" s="1">
        <f t="shared" si="49"/>
        <v>5506.3328596980537</v>
      </c>
      <c r="U80" s="1">
        <f t="shared" si="49"/>
        <v>5616.459516892015</v>
      </c>
      <c r="V80" s="1">
        <f t="shared" si="49"/>
        <v>5728.7887072298554</v>
      </c>
      <c r="W80" s="1">
        <f t="shared" si="49"/>
        <v>5843.3644813744522</v>
      </c>
      <c r="X80" s="1">
        <f t="shared" si="49"/>
        <v>5960.2317710019424</v>
      </c>
      <c r="Y80" s="1">
        <f t="shared" si="49"/>
        <v>6079.4364064219808</v>
      </c>
      <c r="Z80" s="1">
        <f t="shared" si="49"/>
        <v>6201.0251345504203</v>
      </c>
      <c r="AA80" s="1">
        <f t="shared" si="49"/>
        <v>6325.0456372414292</v>
      </c>
      <c r="AB80" s="1">
        <f t="shared" si="49"/>
        <v>6451.5465499862557</v>
      </c>
      <c r="AC80" s="1">
        <f t="shared" si="49"/>
        <v>6580.5774809859831</v>
      </c>
      <c r="AD80">
        <v>0</v>
      </c>
      <c r="AE80">
        <v>0</v>
      </c>
      <c r="AF80">
        <v>0</v>
      </c>
      <c r="AG80">
        <v>0</v>
      </c>
      <c r="AH80">
        <v>0</v>
      </c>
    </row>
    <row r="81" spans="1:34" x14ac:dyDescent="0.25">
      <c r="A81" s="25"/>
    </row>
    <row r="82" spans="1:34" x14ac:dyDescent="0.25">
      <c r="A82" s="25" t="s">
        <v>16</v>
      </c>
      <c r="H82" t="s">
        <v>6</v>
      </c>
      <c r="I82" s="19">
        <f t="shared" ref="I82:AH82" si="50">+I38+I77</f>
        <v>533.29</v>
      </c>
      <c r="J82" s="15">
        <f t="shared" si="50"/>
        <v>543.95579999999995</v>
      </c>
      <c r="K82" s="15">
        <f t="shared" si="50"/>
        <v>554.83491599999991</v>
      </c>
      <c r="L82" s="15">
        <f t="shared" si="50"/>
        <v>565.93161432000011</v>
      </c>
      <c r="M82" s="15">
        <f t="shared" si="50"/>
        <v>577.25024660639997</v>
      </c>
      <c r="N82" s="15">
        <f t="shared" si="50"/>
        <v>588.79525153852808</v>
      </c>
      <c r="O82" s="15">
        <f t="shared" si="50"/>
        <v>600.57115656929864</v>
      </c>
      <c r="P82" s="15">
        <f t="shared" si="50"/>
        <v>612.58257970068462</v>
      </c>
      <c r="Q82" s="15">
        <f t="shared" si="50"/>
        <v>624.83423129469838</v>
      </c>
      <c r="R82" s="15">
        <f t="shared" si="50"/>
        <v>637.33091592059225</v>
      </c>
      <c r="S82" s="15">
        <f t="shared" si="50"/>
        <v>650.07753423900408</v>
      </c>
      <c r="T82" s="15">
        <f t="shared" si="50"/>
        <v>663.07908492378431</v>
      </c>
      <c r="U82" s="15">
        <f t="shared" si="50"/>
        <v>676.34066662225985</v>
      </c>
      <c r="V82" s="15">
        <f t="shared" si="50"/>
        <v>689.86747995470512</v>
      </c>
      <c r="W82" s="15">
        <f t="shared" si="50"/>
        <v>703.66482955379911</v>
      </c>
      <c r="X82" s="15">
        <f t="shared" si="50"/>
        <v>717.7381261448752</v>
      </c>
      <c r="Y82" s="15">
        <f t="shared" si="50"/>
        <v>732.09288866777274</v>
      </c>
      <c r="Z82" s="15">
        <f t="shared" si="50"/>
        <v>746.7347464411281</v>
      </c>
      <c r="AA82" s="15">
        <f t="shared" si="50"/>
        <v>761.66944136995085</v>
      </c>
      <c r="AB82" s="15">
        <f t="shared" si="50"/>
        <v>776.90283019734977</v>
      </c>
      <c r="AC82" s="15">
        <f t="shared" si="50"/>
        <v>792.44088680129687</v>
      </c>
      <c r="AD82" s="15">
        <f t="shared" si="50"/>
        <v>808.28970453732279</v>
      </c>
      <c r="AE82" s="15">
        <f t="shared" si="50"/>
        <v>824.45549862806922</v>
      </c>
      <c r="AF82" s="15">
        <f t="shared" si="50"/>
        <v>840.94460860063077</v>
      </c>
      <c r="AG82" s="15">
        <f t="shared" si="50"/>
        <v>857.7635007726434</v>
      </c>
      <c r="AH82" s="16">
        <f t="shared" si="50"/>
        <v>874.91877078809625</v>
      </c>
    </row>
    <row r="83" spans="1:34" x14ac:dyDescent="0.25">
      <c r="A83" s="25"/>
      <c r="H83" t="s">
        <v>7</v>
      </c>
      <c r="I83">
        <f t="shared" ref="I83:AC83" si="51">+I39+I78</f>
        <v>531.86599999999999</v>
      </c>
      <c r="J83">
        <f t="shared" si="51"/>
        <v>542.50332000000003</v>
      </c>
      <c r="K83" s="1">
        <f t="shared" si="51"/>
        <v>553.35338639999986</v>
      </c>
      <c r="L83" s="1">
        <f t="shared" si="51"/>
        <v>564.42045412800007</v>
      </c>
      <c r="M83" s="1">
        <f t="shared" si="51"/>
        <v>575.70886321056003</v>
      </c>
      <c r="N83" s="1">
        <f t="shared" si="51"/>
        <v>587.22304047477132</v>
      </c>
      <c r="O83" s="1">
        <f t="shared" si="51"/>
        <v>598.96750128426663</v>
      </c>
      <c r="P83" s="1">
        <f t="shared" si="51"/>
        <v>610.94685130995208</v>
      </c>
      <c r="Q83" s="1">
        <f t="shared" si="51"/>
        <v>623.16578833615119</v>
      </c>
      <c r="R83" s="1">
        <f t="shared" si="51"/>
        <v>635.62910410287407</v>
      </c>
      <c r="S83" s="1">
        <f t="shared" si="51"/>
        <v>648.34168618493163</v>
      </c>
      <c r="T83" s="1">
        <f t="shared" si="51"/>
        <v>661.30851990863027</v>
      </c>
      <c r="U83" s="1">
        <f t="shared" si="51"/>
        <v>674.53469030680287</v>
      </c>
      <c r="V83" s="1">
        <f t="shared" si="51"/>
        <v>688.02538411293892</v>
      </c>
      <c r="W83" s="1">
        <f t="shared" si="51"/>
        <v>701.78589179519759</v>
      </c>
      <c r="X83" s="1">
        <f t="shared" si="51"/>
        <v>715.82160963110164</v>
      </c>
      <c r="Y83" s="1">
        <f t="shared" si="51"/>
        <v>730.13804182372371</v>
      </c>
      <c r="Z83" s="1">
        <f t="shared" si="51"/>
        <v>744.74080266019814</v>
      </c>
      <c r="AA83" s="1">
        <f t="shared" si="51"/>
        <v>759.63561871340221</v>
      </c>
      <c r="AB83" s="1">
        <f t="shared" si="51"/>
        <v>774.82833108767022</v>
      </c>
      <c r="AC83" s="1">
        <f t="shared" si="51"/>
        <v>790.32489770942368</v>
      </c>
      <c r="AD83">
        <v>0</v>
      </c>
      <c r="AE83">
        <v>0</v>
      </c>
      <c r="AF83">
        <v>0</v>
      </c>
      <c r="AG83">
        <v>0</v>
      </c>
      <c r="AH83">
        <v>0</v>
      </c>
    </row>
    <row r="84" spans="1:34" x14ac:dyDescent="0.25">
      <c r="A84" s="25"/>
      <c r="H84" t="s">
        <v>5</v>
      </c>
      <c r="I84" s="1">
        <f t="shared" ref="I84:AC84" si="52">+I40+I79</f>
        <v>4448.0900000000011</v>
      </c>
      <c r="J84" s="14">
        <f t="shared" si="52"/>
        <v>4537.0518000000002</v>
      </c>
      <c r="K84" s="15">
        <f t="shared" si="52"/>
        <v>4627.7928359999996</v>
      </c>
      <c r="L84" s="15">
        <f t="shared" si="52"/>
        <v>4720.3486927200001</v>
      </c>
      <c r="M84" s="15">
        <f t="shared" si="52"/>
        <v>4814.7556665744005</v>
      </c>
      <c r="N84" s="15">
        <f t="shared" si="52"/>
        <v>4911.0507799058887</v>
      </c>
      <c r="O84" s="15">
        <f t="shared" si="52"/>
        <v>5009.2717955040071</v>
      </c>
      <c r="P84" s="15">
        <f t="shared" si="52"/>
        <v>5109.4572314140869</v>
      </c>
      <c r="Q84" s="15">
        <f t="shared" si="52"/>
        <v>5211.6463760423685</v>
      </c>
      <c r="R84" s="15">
        <f t="shared" si="52"/>
        <v>5315.879303563217</v>
      </c>
      <c r="S84" s="15">
        <f t="shared" si="52"/>
        <v>5422.1968896344806</v>
      </c>
      <c r="T84" s="15">
        <f t="shared" si="52"/>
        <v>5530.6408274271716</v>
      </c>
      <c r="U84" s="15">
        <f t="shared" si="52"/>
        <v>5641.253643975715</v>
      </c>
      <c r="V84" s="15">
        <f t="shared" si="52"/>
        <v>5754.0787168552279</v>
      </c>
      <c r="W84" s="15">
        <f t="shared" si="52"/>
        <v>5869.1602911923328</v>
      </c>
      <c r="X84" s="15">
        <f t="shared" si="52"/>
        <v>5986.5434970161796</v>
      </c>
      <c r="Y84" s="15">
        <f t="shared" si="52"/>
        <v>6106.2743669565043</v>
      </c>
      <c r="Z84" s="15">
        <f t="shared" si="52"/>
        <v>6228.3998542956333</v>
      </c>
      <c r="AA84" s="15">
        <f t="shared" si="52"/>
        <v>6352.967851381547</v>
      </c>
      <c r="AB84" s="15">
        <f t="shared" si="52"/>
        <v>6480.0272084091775</v>
      </c>
      <c r="AC84" s="15">
        <f t="shared" si="52"/>
        <v>6609.6277525773612</v>
      </c>
      <c r="AD84" s="15">
        <f>+AD40+AD79</f>
        <v>6741.8203076289101</v>
      </c>
      <c r="AE84" s="15">
        <f>+AE40+AE79</f>
        <v>6876.6567137814873</v>
      </c>
      <c r="AF84" s="15">
        <f>+AF40+AF79</f>
        <v>7014.1898480571172</v>
      </c>
      <c r="AG84" s="15">
        <f>+AG40+AG79</f>
        <v>7154.473645018259</v>
      </c>
      <c r="AH84" s="16">
        <f>+AH40+AH79</f>
        <v>7297.5631179186266</v>
      </c>
    </row>
    <row r="85" spans="1:34" x14ac:dyDescent="0.25">
      <c r="A85" s="25"/>
      <c r="H85" t="s">
        <v>25</v>
      </c>
      <c r="I85" s="1">
        <f t="shared" ref="I85:AC85" si="53">+I41+I80</f>
        <v>4435.7624399999995</v>
      </c>
      <c r="J85" s="1">
        <f t="shared" si="53"/>
        <v>4524.4776887999997</v>
      </c>
      <c r="K85" s="1">
        <f t="shared" si="53"/>
        <v>4614.9672425759991</v>
      </c>
      <c r="L85" s="1">
        <f t="shared" si="53"/>
        <v>4707.2665874275199</v>
      </c>
      <c r="M85" s="1">
        <f t="shared" si="53"/>
        <v>4801.411919176071</v>
      </c>
      <c r="N85" s="1">
        <f t="shared" si="53"/>
        <v>4897.440157559593</v>
      </c>
      <c r="O85" s="1">
        <f t="shared" si="53"/>
        <v>4995.388960710784</v>
      </c>
      <c r="P85" s="1">
        <f t="shared" si="53"/>
        <v>5095.2967399250001</v>
      </c>
      <c r="Q85" s="1">
        <f t="shared" si="53"/>
        <v>5197.2026747235004</v>
      </c>
      <c r="R85" s="1">
        <f t="shared" si="53"/>
        <v>5301.1467282179701</v>
      </c>
      <c r="S85" s="1">
        <f t="shared" si="53"/>
        <v>5407.1696627823294</v>
      </c>
      <c r="T85" s="1">
        <f t="shared" si="53"/>
        <v>5515.3130560379759</v>
      </c>
      <c r="U85" s="1">
        <f t="shared" si="53"/>
        <v>5625.6193171587356</v>
      </c>
      <c r="V85" s="1">
        <f t="shared" si="53"/>
        <v>5738.1317035019101</v>
      </c>
      <c r="W85" s="1">
        <f t="shared" si="53"/>
        <v>5852.8943375719482</v>
      </c>
      <c r="X85" s="1">
        <f t="shared" si="53"/>
        <v>5969.9522243233878</v>
      </c>
      <c r="Y85" s="1">
        <f t="shared" si="53"/>
        <v>6089.3512688098554</v>
      </c>
      <c r="Z85" s="1">
        <f t="shared" si="53"/>
        <v>6211.138294186052</v>
      </c>
      <c r="AA85" s="1">
        <f t="shared" si="53"/>
        <v>6335.3610600697739</v>
      </c>
      <c r="AB85" s="1">
        <f t="shared" si="53"/>
        <v>6462.0682812711675</v>
      </c>
      <c r="AC85" s="1">
        <f t="shared" si="53"/>
        <v>6591.3096468965932</v>
      </c>
      <c r="AD85">
        <v>0</v>
      </c>
      <c r="AE85">
        <v>0</v>
      </c>
      <c r="AF85">
        <v>0</v>
      </c>
      <c r="AG85">
        <v>0</v>
      </c>
      <c r="AH85">
        <v>0</v>
      </c>
    </row>
    <row r="86" spans="1:34" x14ac:dyDescent="0.25">
      <c r="A86" s="25"/>
    </row>
    <row r="87" spans="1:34" x14ac:dyDescent="0.25">
      <c r="A87" s="25" t="s">
        <v>51</v>
      </c>
      <c r="H87" t="s">
        <v>47</v>
      </c>
      <c r="I87" s="3"/>
      <c r="J87" s="14">
        <f t="shared" ref="J87:AH87" si="54">+J82*J7</f>
        <v>75294.361835999996</v>
      </c>
      <c r="K87" s="15">
        <f t="shared" si="54"/>
        <v>76800.249072719991</v>
      </c>
      <c r="L87" s="15">
        <f t="shared" si="54"/>
        <v>78336.254054174424</v>
      </c>
      <c r="M87" s="15">
        <f t="shared" si="54"/>
        <v>79902.97913525789</v>
      </c>
      <c r="N87" s="15">
        <f t="shared" si="54"/>
        <v>81501.038717963063</v>
      </c>
      <c r="O87" s="15">
        <f t="shared" si="54"/>
        <v>83131.059492322325</v>
      </c>
      <c r="P87" s="15">
        <f t="shared" si="54"/>
        <v>84793.680682168779</v>
      </c>
      <c r="Q87" s="15">
        <f t="shared" si="54"/>
        <v>86489.554295812166</v>
      </c>
      <c r="R87" s="15">
        <f t="shared" si="54"/>
        <v>88219.345381728388</v>
      </c>
      <c r="S87" s="15">
        <f t="shared" si="54"/>
        <v>89983.732289362961</v>
      </c>
      <c r="T87" s="15">
        <f t="shared" si="54"/>
        <v>91783.40693515024</v>
      </c>
      <c r="U87" s="15">
        <f t="shared" si="54"/>
        <v>93619.075073853222</v>
      </c>
      <c r="V87" s="15">
        <f t="shared" si="54"/>
        <v>477457.28287665144</v>
      </c>
      <c r="W87" s="15">
        <f t="shared" si="54"/>
        <v>487006.42853418441</v>
      </c>
      <c r="X87" s="15">
        <f t="shared" si="54"/>
        <v>496746.55710486812</v>
      </c>
      <c r="Y87" s="15">
        <f t="shared" si="54"/>
        <v>506681.48824696551</v>
      </c>
      <c r="Z87" s="15">
        <f t="shared" si="54"/>
        <v>516815.11801190476</v>
      </c>
      <c r="AA87" s="15">
        <f t="shared" si="54"/>
        <v>527151.42037214304</v>
      </c>
      <c r="AB87" s="15">
        <f t="shared" si="54"/>
        <v>537694.44877958577</v>
      </c>
      <c r="AC87" s="15">
        <f t="shared" si="54"/>
        <v>548448.33775517764</v>
      </c>
      <c r="AD87" s="15">
        <f t="shared" si="54"/>
        <v>0</v>
      </c>
      <c r="AE87" s="15">
        <f t="shared" si="54"/>
        <v>0</v>
      </c>
      <c r="AF87" s="15">
        <f t="shared" si="54"/>
        <v>0</v>
      </c>
      <c r="AG87" s="15">
        <f t="shared" si="54"/>
        <v>0</v>
      </c>
      <c r="AH87" s="16">
        <f t="shared" si="54"/>
        <v>0</v>
      </c>
    </row>
    <row r="88" spans="1:34" x14ac:dyDescent="0.25">
      <c r="H88" t="s">
        <v>48</v>
      </c>
      <c r="I88">
        <v>73818</v>
      </c>
      <c r="J88" s="1">
        <f t="shared" ref="J88:AC88" si="55">+J83*J8</f>
        <v>75093.30955440001</v>
      </c>
      <c r="K88" s="1">
        <f t="shared" si="55"/>
        <v>76595.175745487984</v>
      </c>
      <c r="L88" s="1">
        <f t="shared" si="55"/>
        <v>78127.079260397775</v>
      </c>
      <c r="M88" s="1">
        <f t="shared" si="55"/>
        <v>79689.620845605721</v>
      </c>
      <c r="N88" s="1">
        <f t="shared" si="55"/>
        <v>81283.413262517861</v>
      </c>
      <c r="O88" s="1">
        <f t="shared" si="55"/>
        <v>82909.081527768198</v>
      </c>
      <c r="P88" s="1">
        <f t="shared" si="55"/>
        <v>84567.263158323578</v>
      </c>
      <c r="Q88" s="1">
        <f t="shared" si="55"/>
        <v>86258.608421490062</v>
      </c>
      <c r="R88" s="1">
        <f t="shared" si="55"/>
        <v>87983.780589919843</v>
      </c>
      <c r="S88" s="1">
        <f t="shared" si="55"/>
        <v>89743.456201718247</v>
      </c>
      <c r="T88" s="1">
        <f t="shared" si="55"/>
        <v>91538.325325752608</v>
      </c>
      <c r="U88" s="1">
        <f t="shared" si="55"/>
        <v>93369.091832267659</v>
      </c>
      <c r="V88" s="1">
        <f t="shared" si="55"/>
        <v>476182.36834456504</v>
      </c>
      <c r="W88" s="1">
        <f t="shared" si="55"/>
        <v>485706.01571145625</v>
      </c>
      <c r="X88" s="1">
        <f t="shared" si="55"/>
        <v>495420.13602568547</v>
      </c>
      <c r="Y88" s="1">
        <f t="shared" si="55"/>
        <v>505328.53874619922</v>
      </c>
      <c r="Z88" s="1">
        <f t="shared" si="55"/>
        <v>515435.10952112317</v>
      </c>
      <c r="AA88" s="1">
        <f t="shared" si="55"/>
        <v>525743.81171154568</v>
      </c>
      <c r="AB88" s="1">
        <f t="shared" si="55"/>
        <v>536258.68794577662</v>
      </c>
      <c r="AC88" s="1">
        <f t="shared" si="55"/>
        <v>546983.86170469213</v>
      </c>
      <c r="AD88">
        <v>0</v>
      </c>
      <c r="AE88">
        <v>0</v>
      </c>
      <c r="AF88">
        <v>0</v>
      </c>
      <c r="AG88">
        <v>0</v>
      </c>
      <c r="AH88">
        <v>0</v>
      </c>
    </row>
    <row r="89" spans="1:34" x14ac:dyDescent="0.25">
      <c r="H89" t="s">
        <v>49</v>
      </c>
      <c r="I89" s="3"/>
      <c r="J89" s="14">
        <f t="shared" ref="J89:AC89" si="56">+J84*J9</f>
        <v>58346.486147999996</v>
      </c>
      <c r="K89" s="15">
        <f t="shared" si="56"/>
        <v>59513.415870959994</v>
      </c>
      <c r="L89" s="15">
        <f t="shared" si="56"/>
        <v>60703.6841883792</v>
      </c>
      <c r="M89" s="15">
        <f t="shared" si="56"/>
        <v>61917.757872146787</v>
      </c>
      <c r="N89" s="15">
        <f t="shared" si="56"/>
        <v>63156.113029589724</v>
      </c>
      <c r="O89" s="15">
        <f t="shared" si="56"/>
        <v>64419.235290181525</v>
      </c>
      <c r="P89" s="15">
        <f t="shared" si="56"/>
        <v>65707.619995985151</v>
      </c>
      <c r="Q89" s="15">
        <f t="shared" si="56"/>
        <v>67021.77239590486</v>
      </c>
      <c r="R89" s="15">
        <f t="shared" si="56"/>
        <v>68362.207843822966</v>
      </c>
      <c r="S89" s="15">
        <f t="shared" si="56"/>
        <v>69729.452000699413</v>
      </c>
      <c r="T89" s="15">
        <f t="shared" si="56"/>
        <v>71124.041040713419</v>
      </c>
      <c r="U89" s="15">
        <f t="shared" si="56"/>
        <v>72546.521861527697</v>
      </c>
      <c r="V89" s="15">
        <f t="shared" si="56"/>
        <v>369987.26149379113</v>
      </c>
      <c r="W89" s="15">
        <f t="shared" si="56"/>
        <v>377387.00672366697</v>
      </c>
      <c r="X89" s="15">
        <f t="shared" si="56"/>
        <v>384934.74685814034</v>
      </c>
      <c r="Y89" s="15">
        <f t="shared" si="56"/>
        <v>392633.4417953032</v>
      </c>
      <c r="Z89" s="15">
        <f t="shared" si="56"/>
        <v>400486.11063120922</v>
      </c>
      <c r="AA89" s="15">
        <f t="shared" si="56"/>
        <v>408495.83284383343</v>
      </c>
      <c r="AB89" s="15">
        <f t="shared" si="56"/>
        <v>416665.74950071011</v>
      </c>
      <c r="AC89" s="15">
        <f t="shared" si="56"/>
        <v>424999.0644907243</v>
      </c>
      <c r="AD89" s="15">
        <f>+AD84*AD9</f>
        <v>0</v>
      </c>
      <c r="AE89" s="15">
        <f>+AE84*AE9</f>
        <v>0</v>
      </c>
      <c r="AF89" s="15">
        <f>+AF84*AF9</f>
        <v>0</v>
      </c>
      <c r="AG89" s="15">
        <f>+AG84*AG9</f>
        <v>0</v>
      </c>
      <c r="AH89" s="16">
        <f>+AH84*AH9</f>
        <v>0</v>
      </c>
    </row>
    <row r="90" spans="1:34" x14ac:dyDescent="0.25">
      <c r="H90" t="s">
        <v>50</v>
      </c>
      <c r="I90">
        <v>57193.15</v>
      </c>
      <c r="J90" s="1">
        <f t="shared" ref="J90:AC90" si="57">+J85*J10</f>
        <v>58181.244936415358</v>
      </c>
      <c r="K90" s="1">
        <f t="shared" si="57"/>
        <v>59344.869835143654</v>
      </c>
      <c r="L90" s="1">
        <f t="shared" si="57"/>
        <v>60531.767231846541</v>
      </c>
      <c r="M90" s="1">
        <f t="shared" si="57"/>
        <v>61742.402576483481</v>
      </c>
      <c r="N90" s="1">
        <f t="shared" si="57"/>
        <v>62977.250628013157</v>
      </c>
      <c r="O90" s="1">
        <f t="shared" si="57"/>
        <v>64236.795640573408</v>
      </c>
      <c r="P90" s="1">
        <f t="shared" si="57"/>
        <v>65521.531553384884</v>
      </c>
      <c r="Q90" s="1">
        <f t="shared" si="57"/>
        <v>66831.962184452583</v>
      </c>
      <c r="R90" s="1">
        <f t="shared" si="57"/>
        <v>68168.601428141628</v>
      </c>
      <c r="S90" s="1">
        <f t="shared" si="57"/>
        <v>69531.973456704465</v>
      </c>
      <c r="T90" s="1">
        <f t="shared" si="57"/>
        <v>70922.612925838548</v>
      </c>
      <c r="U90" s="1">
        <f t="shared" si="57"/>
        <v>72341.065184355321</v>
      </c>
      <c r="V90" s="1">
        <f t="shared" si="57"/>
        <v>368939.43244021217</v>
      </c>
      <c r="W90" s="1">
        <f t="shared" si="57"/>
        <v>376318.22108901641</v>
      </c>
      <c r="X90" s="1">
        <f t="shared" si="57"/>
        <v>383844.58551079675</v>
      </c>
      <c r="Y90" s="1">
        <f t="shared" si="57"/>
        <v>391521.4772210127</v>
      </c>
      <c r="Z90" s="1">
        <f t="shared" si="57"/>
        <v>399351.90676543291</v>
      </c>
      <c r="AA90" s="1">
        <f t="shared" si="57"/>
        <v>407338.94490074163</v>
      </c>
      <c r="AB90" s="1">
        <f t="shared" si="57"/>
        <v>415485.72379875637</v>
      </c>
      <c r="AC90" s="1">
        <f t="shared" si="57"/>
        <v>423795.43827473163</v>
      </c>
      <c r="AD90">
        <v>0</v>
      </c>
      <c r="AE90">
        <v>0</v>
      </c>
      <c r="AF90">
        <v>0</v>
      </c>
      <c r="AG90">
        <v>0</v>
      </c>
      <c r="AH90">
        <v>0</v>
      </c>
    </row>
    <row r="92" spans="1:34" ht="15.75" x14ac:dyDescent="0.25">
      <c r="H92" t="s">
        <v>53</v>
      </c>
      <c r="J92" s="24">
        <v>3</v>
      </c>
      <c r="K92" s="24">
        <v>3</v>
      </c>
      <c r="L92" s="24">
        <v>3</v>
      </c>
      <c r="M92" s="24">
        <v>3</v>
      </c>
      <c r="N92" s="24">
        <v>3</v>
      </c>
      <c r="O92" s="24">
        <v>3</v>
      </c>
      <c r="P92" s="24">
        <v>3</v>
      </c>
      <c r="Q92" s="24">
        <v>3</v>
      </c>
      <c r="R92" s="24">
        <v>3</v>
      </c>
      <c r="S92" s="24">
        <v>3</v>
      </c>
      <c r="T92" s="24">
        <v>3</v>
      </c>
      <c r="U92" s="24">
        <v>3</v>
      </c>
      <c r="V92" s="24">
        <v>3</v>
      </c>
      <c r="W92" s="24">
        <v>3</v>
      </c>
      <c r="X92" s="24">
        <v>3</v>
      </c>
      <c r="Y92" s="24">
        <v>3</v>
      </c>
      <c r="Z92" s="24">
        <v>3</v>
      </c>
      <c r="AA92" s="24">
        <v>3</v>
      </c>
      <c r="AB92" s="24">
        <v>3</v>
      </c>
      <c r="AC92" s="24">
        <v>3</v>
      </c>
      <c r="AD92" s="24">
        <v>3</v>
      </c>
      <c r="AE92" s="24">
        <v>3</v>
      </c>
      <c r="AF92" s="24">
        <v>3</v>
      </c>
      <c r="AG92" s="24">
        <v>3</v>
      </c>
      <c r="AH92" s="24">
        <v>3</v>
      </c>
    </row>
    <row r="93" spans="1:34" x14ac:dyDescent="0.25">
      <c r="H93" s="29" t="s">
        <v>3</v>
      </c>
      <c r="I93" s="29"/>
      <c r="J93" s="29">
        <v>3</v>
      </c>
      <c r="K93" s="29">
        <v>3</v>
      </c>
      <c r="L93" s="29">
        <v>3</v>
      </c>
      <c r="M93" s="29">
        <v>3</v>
      </c>
      <c r="N93" s="29">
        <v>3</v>
      </c>
      <c r="O93" s="29">
        <v>3</v>
      </c>
      <c r="P93" s="29">
        <v>3</v>
      </c>
      <c r="Q93" s="29">
        <v>3</v>
      </c>
      <c r="R93" s="29">
        <v>3</v>
      </c>
      <c r="S93" s="29">
        <v>3</v>
      </c>
      <c r="T93" s="29">
        <v>3</v>
      </c>
      <c r="U93" s="29">
        <v>3</v>
      </c>
      <c r="V93" s="29">
        <v>3</v>
      </c>
      <c r="W93" s="29">
        <v>3</v>
      </c>
      <c r="X93" s="29">
        <v>3</v>
      </c>
      <c r="Y93" s="29">
        <v>3</v>
      </c>
      <c r="Z93" s="29">
        <v>3</v>
      </c>
      <c r="AA93" s="29">
        <v>3</v>
      </c>
      <c r="AB93" s="29">
        <v>3</v>
      </c>
      <c r="AC93" s="29">
        <v>3</v>
      </c>
      <c r="AD93" s="29">
        <v>3</v>
      </c>
      <c r="AE93" s="29">
        <v>3</v>
      </c>
      <c r="AF93" s="29">
        <v>3</v>
      </c>
      <c r="AG93" s="29">
        <v>3</v>
      </c>
      <c r="AH93" s="29">
        <v>3</v>
      </c>
    </row>
    <row r="95" spans="1:34" s="25" customFormat="1" x14ac:dyDescent="0.25">
      <c r="A95" s="25" t="s">
        <v>52</v>
      </c>
      <c r="H95" s="25" t="s">
        <v>47</v>
      </c>
      <c r="J95" s="52">
        <f>+J87/(1+J92/100)</f>
        <v>73101.322170873784</v>
      </c>
      <c r="K95" s="53">
        <f>+K87/POWER((1+K92/100),2)</f>
        <v>72391.600596399279</v>
      </c>
      <c r="L95" s="53">
        <f>+L87/POWER((1+L92/100),3)</f>
        <v>71688.769522647854</v>
      </c>
      <c r="M95" s="53">
        <f>+M87/POWER((1+M92/100),4)</f>
        <v>70992.762051554178</v>
      </c>
      <c r="N95" s="53">
        <f>+N87/POWER((1+N92/100),5)</f>
        <v>70303.511934548806</v>
      </c>
      <c r="O95" s="53">
        <f>+O87/POWER((1+O92/100),6)</f>
        <v>69620.95356625221</v>
      </c>
      <c r="P95" s="53">
        <f>+P87/POWER((1+P92/100),7)</f>
        <v>68945.021978230347</v>
      </c>
      <c r="Q95" s="53">
        <f>+Q87/POWER((1+Q92/100),8)</f>
        <v>68275.652832810651</v>
      </c>
      <c r="R95" s="53">
        <f>+R87/POWER((1+R92/100),9)</f>
        <v>67612.782416958114</v>
      </c>
      <c r="S95" s="53">
        <f>+S87/POWER((1+S92/100),10)</f>
        <v>66956.34763621095</v>
      </c>
      <c r="T95" s="53">
        <f>+T87/POWER((1+T92/100),11)</f>
        <v>66306.286008674928</v>
      </c>
      <c r="U95" s="53">
        <f>+U87/POWER((1+U92/100),12)</f>
        <v>65662.535659076137</v>
      </c>
      <c r="V95" s="53">
        <f>+V87/POWER((1+V92/100),13)</f>
        <v>325125.17656435759</v>
      </c>
      <c r="W95" s="53">
        <f>+W87/POWER((1+W92/100),14)</f>
        <v>321968.62145208218</v>
      </c>
      <c r="X95" s="53">
        <f>+X87/POWER((1+X92/100),15)</f>
        <v>318842.71250594547</v>
      </c>
      <c r="Y95" s="53">
        <f>+Y87/POWER((1+Y92/100),16)</f>
        <v>315747.15219035384</v>
      </c>
      <c r="Z95" s="53">
        <f>+Z87/POWER((1+Z92/100),17)</f>
        <v>312681.64585840865</v>
      </c>
      <c r="AA95" s="53">
        <f>+AA87/POWER((1+AA92/100),18)</f>
        <v>309645.90172386105</v>
      </c>
      <c r="AB95" s="53">
        <f>+AB87/POWER((1+AB92/100),19)</f>
        <v>306639.63083333807</v>
      </c>
      <c r="AC95" s="53">
        <f>+AC87/POWER((1+AC92/100),20)</f>
        <v>303662.54703883972</v>
      </c>
      <c r="AD95" s="53">
        <f>+AD87/POWER((1+AD92/100),21)</f>
        <v>0</v>
      </c>
      <c r="AE95" s="53">
        <f>+AE87/POWER((1+AE92/100),22)</f>
        <v>0</v>
      </c>
      <c r="AF95" s="53">
        <f>+AF87/POWER((1+AF92/100),23)</f>
        <v>0</v>
      </c>
      <c r="AG95" s="53">
        <f>+AG87/POWER((1+AG92/100),24)</f>
        <v>0</v>
      </c>
      <c r="AH95" s="53">
        <f>+AH87/POWER((1+AH92/100),25)</f>
        <v>0</v>
      </c>
    </row>
    <row r="96" spans="1:34" x14ac:dyDescent="0.25">
      <c r="H96" t="s">
        <v>48</v>
      </c>
      <c r="J96" s="47">
        <f>+J88/(1+J93/100)</f>
        <v>72906.125780970877</v>
      </c>
      <c r="K96" s="47">
        <f>+K88/POWER((1+K93/100),2)</f>
        <v>72198.299317077937</v>
      </c>
      <c r="L96" s="47">
        <f>+L88/POWER((1+L93/100),3)</f>
        <v>71497.344954776243</v>
      </c>
      <c r="M96" s="47">
        <f>+M88/POWER((1+M93/100),4)</f>
        <v>70803.195974632778</v>
      </c>
      <c r="N96" s="47">
        <f>+N88/POWER((1+N93/100),5)</f>
        <v>70115.78630497618</v>
      </c>
      <c r="O96" s="47">
        <f>+O88/POWER((1+O93/100),6)</f>
        <v>69435.050515607451</v>
      </c>
      <c r="P96" s="47">
        <f>+P88/POWER((1+P93/100),7)</f>
        <v>68760.923811572444</v>
      </c>
      <c r="Q96" s="47">
        <f>+Q88/POWER((1+Q93/100),8)</f>
        <v>68093.342026994083</v>
      </c>
      <c r="R96" s="47">
        <f>+R88/POWER((1+R93/100),9)</f>
        <v>67432.241618964996</v>
      </c>
      <c r="S96" s="47">
        <f>+S88/POWER((1+S93/100),10)</f>
        <v>66777.559661499326</v>
      </c>
      <c r="T96" s="47">
        <f>+T88/POWER((1+T93/100),11)</f>
        <v>66129.233839543012</v>
      </c>
      <c r="U96" s="47">
        <f>+U88/POWER((1+U93/100),12)</f>
        <v>65487.202443042603</v>
      </c>
      <c r="V96" s="47">
        <f>+V88/POWER((1+V93/100),13)</f>
        <v>324257.02180535661</v>
      </c>
      <c r="W96" s="47">
        <f>+W88/POWER((1+W93/100),14)</f>
        <v>321108.89538006176</v>
      </c>
      <c r="X96" s="47">
        <f>+X88/POWER((1+X93/100),15)</f>
        <v>317991.33328899322</v>
      </c>
      <c r="Y96" s="47">
        <f>+Y88/POWER((1+Y93/100),16)</f>
        <v>314904.03879104194</v>
      </c>
      <c r="Z96" s="47">
        <f>+Z88/POWER((1+Z93/100),17)</f>
        <v>311846.71802608034</v>
      </c>
      <c r="AA96" s="47">
        <f>+AA88/POWER((1+AA93/100),18)</f>
        <v>308819.07998699223</v>
      </c>
      <c r="AB96" s="47">
        <f>+AB88/POWER((1+AB93/100),19)</f>
        <v>305820.83649197291</v>
      </c>
      <c r="AC96" s="47">
        <f>+AC88/POWER((1+AC93/100),20)</f>
        <v>302851.70215709938</v>
      </c>
      <c r="AD96" s="47">
        <v>0</v>
      </c>
      <c r="AE96" s="47">
        <v>0</v>
      </c>
      <c r="AF96" s="47">
        <v>0</v>
      </c>
      <c r="AG96" s="47">
        <v>0</v>
      </c>
      <c r="AH96" s="47">
        <v>0</v>
      </c>
    </row>
    <row r="97" spans="1:34" s="25" customFormat="1" x14ac:dyDescent="0.25">
      <c r="H97" s="25" t="s">
        <v>49</v>
      </c>
      <c r="J97" s="43">
        <f>+J89/(1+J92/100)</f>
        <v>56647.073930097082</v>
      </c>
      <c r="K97" s="43">
        <f>+K89/POWER((1+K92/100),2)</f>
        <v>56097.102338542747</v>
      </c>
      <c r="L97" s="43">
        <f>+L89/POWER((1+L92/100),3)</f>
        <v>55552.4702770035</v>
      </c>
      <c r="M97" s="43">
        <f>+M89/POWER((1+M92/100),4)</f>
        <v>55013.125905382112</v>
      </c>
      <c r="N97" s="43">
        <f>+N89/POWER((1+N92/100),5)</f>
        <v>54479.017886883259</v>
      </c>
      <c r="O97" s="43">
        <f>+O89/POWER((1+O92/100),6)</f>
        <v>53950.095383127111</v>
      </c>
      <c r="P97" s="43">
        <f>+P89/POWER((1+P92/100),7)</f>
        <v>53426.308049310341</v>
      </c>
      <c r="Q97" s="43">
        <f>+Q89/POWER((1+Q92/100),8)</f>
        <v>52907.606029414135</v>
      </c>
      <c r="R97" s="43">
        <f>+R89/POWER((1+R92/100),9)</f>
        <v>52393.939951458662</v>
      </c>
      <c r="S97" s="43">
        <f>+S89/POWER((1+S92/100),10)</f>
        <v>51885.260922803711</v>
      </c>
      <c r="T97" s="43">
        <f>+T89/POWER((1+T92/100),11)</f>
        <v>51381.520525494947</v>
      </c>
      <c r="U97" s="43">
        <f>+U89/POWER((1+U92/100),12)</f>
        <v>50882.670811655211</v>
      </c>
      <c r="V97" s="43">
        <f>+V89/POWER((1+V92/100),13)</f>
        <v>251943.32149460338</v>
      </c>
      <c r="W97" s="43">
        <f>+W89/POWER((1+W92/100),14)</f>
        <v>249497.26982960722</v>
      </c>
      <c r="X97" s="43">
        <f>+X89/POWER((1+X92/100),15)</f>
        <v>247074.96623902852</v>
      </c>
      <c r="Y97" s="43">
        <f>+Y89/POWER((1+Y92/100),16)</f>
        <v>244676.18015903802</v>
      </c>
      <c r="Z97" s="43">
        <f>+Z89/POWER((1+Z92/100),17)</f>
        <v>242300.68326429004</v>
      </c>
      <c r="AA97" s="43">
        <f>+AA89/POWER((1+AA92/100),18)</f>
        <v>239948.24944619017</v>
      </c>
      <c r="AB97" s="43">
        <f>+AB89/POWER((1+AB92/100),19)</f>
        <v>237618.6547913728</v>
      </c>
      <c r="AC97" s="43">
        <f>+AC89/POWER((1+AC92/100),20)</f>
        <v>235311.67756038858</v>
      </c>
      <c r="AD97" s="43">
        <f>+AD89/POWER((1+AD92/100),21)</f>
        <v>0</v>
      </c>
      <c r="AE97" s="43">
        <f>+AE89/POWER((1+AE92/100),22)</f>
        <v>0</v>
      </c>
      <c r="AF97" s="43">
        <f>+AF89/POWER((1+AF92/100),23)</f>
        <v>0</v>
      </c>
      <c r="AG97" s="43">
        <f>+AG89/POWER((1+AG92/100),24)</f>
        <v>0</v>
      </c>
      <c r="AH97" s="43">
        <f>+AH89/POWER((1+AH92/100),25)</f>
        <v>0</v>
      </c>
    </row>
    <row r="98" spans="1:34" x14ac:dyDescent="0.25">
      <c r="H98" t="s">
        <v>50</v>
      </c>
      <c r="J98" s="48">
        <f>+J90/(1+J93/100)</f>
        <v>56486.645569335298</v>
      </c>
      <c r="K98" s="48">
        <f>+K90/POWER((1+K93/100),2)</f>
        <v>55938.231534681552</v>
      </c>
      <c r="L98" s="48">
        <f>+L90/POWER((1+L93/100),3)</f>
        <v>55395.141908131256</v>
      </c>
      <c r="M98" s="48">
        <f>+M90/POWER((1+M93/100),4)</f>
        <v>54857.32499640184</v>
      </c>
      <c r="N98" s="48">
        <f>+N90/POWER((1+N93/100),5)</f>
        <v>54324.729608087262</v>
      </c>
      <c r="O98" s="48">
        <f>+O90/POWER((1+O93/100),6)</f>
        <v>53797.305048785434</v>
      </c>
      <c r="P98" s="48">
        <f>+P90/POWER((1+P93/100),7)</f>
        <v>53275.001116272957</v>
      </c>
      <c r="Q98" s="48">
        <f>+Q90/POWER((1+Q93/100),8)</f>
        <v>52757.768095726628</v>
      </c>
      <c r="R98" s="48">
        <f>+R90/POWER((1+R93/100),9)</f>
        <v>52245.556754991405</v>
      </c>
      <c r="S98" s="48">
        <f>+S90/POWER((1+S93/100),10)</f>
        <v>51738.318339894409</v>
      </c>
      <c r="T98" s="48">
        <f>+T90/POWER((1+T93/100),11)</f>
        <v>51236.004569604163</v>
      </c>
      <c r="U98" s="48">
        <f>+U90/POWER((1+U93/100),12)</f>
        <v>50738.567632035199</v>
      </c>
      <c r="V98" s="48">
        <f>+V90/POWER((1+V93/100),13)</f>
        <v>251229.80089648502</v>
      </c>
      <c r="W98" s="48">
        <f>+W90/POWER((1+W93/100),14)</f>
        <v>248790.67661593659</v>
      </c>
      <c r="X98" s="48">
        <f>+X90/POWER((1+X93/100),15)</f>
        <v>246375.23315364594</v>
      </c>
      <c r="Y98" s="48">
        <f>+Y90/POWER((1+Y93/100),16)</f>
        <v>243983.24059875621</v>
      </c>
      <c r="Z98" s="48">
        <f>+Z90/POWER((1+Z93/100),17)</f>
        <v>241614.47127255466</v>
      </c>
      <c r="AA98" s="48">
        <f>+AA90/POWER((1+AA93/100),18)</f>
        <v>239268.69970680174</v>
      </c>
      <c r="AB98" s="48">
        <f>+AB90/POWER((1+AB93/100),19)</f>
        <v>236945.70262226963</v>
      </c>
      <c r="AC98" s="48">
        <f>+AC90/POWER((1+AC93/100),20)</f>
        <v>234645.25890749041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</row>
    <row r="99" spans="1:34" x14ac:dyDescent="0.25">
      <c r="H99" t="s">
        <v>31</v>
      </c>
      <c r="J99">
        <v>1</v>
      </c>
      <c r="K99">
        <v>2</v>
      </c>
      <c r="L99">
        <v>3</v>
      </c>
      <c r="M99">
        <v>4</v>
      </c>
      <c r="N99">
        <v>5</v>
      </c>
      <c r="O99">
        <v>6</v>
      </c>
      <c r="P99">
        <v>7</v>
      </c>
      <c r="Q99">
        <v>8</v>
      </c>
      <c r="R99">
        <v>9</v>
      </c>
      <c r="S99">
        <v>10</v>
      </c>
      <c r="T99">
        <v>11</v>
      </c>
      <c r="U99">
        <v>12</v>
      </c>
      <c r="V99">
        <v>13</v>
      </c>
      <c r="W99">
        <v>14</v>
      </c>
      <c r="X99">
        <v>15</v>
      </c>
      <c r="Y99">
        <v>16</v>
      </c>
      <c r="Z99">
        <v>17</v>
      </c>
      <c r="AA99">
        <v>18</v>
      </c>
      <c r="AB99">
        <v>19</v>
      </c>
      <c r="AC99">
        <v>20</v>
      </c>
      <c r="AD99">
        <v>21</v>
      </c>
      <c r="AE99">
        <v>22</v>
      </c>
      <c r="AF99">
        <v>23</v>
      </c>
      <c r="AG99">
        <v>24</v>
      </c>
      <c r="AH99">
        <v>25</v>
      </c>
    </row>
    <row r="101" spans="1:34" s="25" customFormat="1" x14ac:dyDescent="0.25">
      <c r="A101" s="25" t="s">
        <v>54</v>
      </c>
      <c r="H101" s="25" t="s">
        <v>47</v>
      </c>
      <c r="J101" s="58">
        <f>SUM(J95:AH95)</f>
        <v>3346170.9345414238</v>
      </c>
    </row>
    <row r="102" spans="1:34" x14ac:dyDescent="0.25">
      <c r="H102" t="s">
        <v>48</v>
      </c>
      <c r="J102" s="47">
        <f>SUM(J96:AH96)</f>
        <v>3337235.9321772563</v>
      </c>
    </row>
    <row r="103" spans="1:34" s="25" customFormat="1" x14ac:dyDescent="0.25">
      <c r="H103" s="25" t="s">
        <v>49</v>
      </c>
      <c r="J103" s="64">
        <f>SUM(J97:AH97)</f>
        <v>2592987.1947956914</v>
      </c>
    </row>
    <row r="104" spans="1:34" x14ac:dyDescent="0.25">
      <c r="H104" t="s">
        <v>50</v>
      </c>
      <c r="J104" s="48">
        <f>SUM(J98:AH98)</f>
        <v>2585643.6789478878</v>
      </c>
    </row>
    <row r="105" spans="1:34" ht="15.75" thickBot="1" x14ac:dyDescent="0.3"/>
    <row r="106" spans="1:34" ht="16.5" thickTop="1" thickBot="1" x14ac:dyDescent="0.3">
      <c r="A106" t="s">
        <v>121</v>
      </c>
      <c r="D106" s="9">
        <f>'First Sheet'!B8</f>
        <v>20</v>
      </c>
    </row>
    <row r="107" spans="1:34" ht="15.75" thickTop="1" x14ac:dyDescent="0.25">
      <c r="A107" s="29" t="s">
        <v>71</v>
      </c>
      <c r="B107" s="29"/>
      <c r="C107" s="29"/>
      <c r="D107" s="29">
        <v>20</v>
      </c>
    </row>
    <row r="108" spans="1:34" ht="15.75" thickBot="1" x14ac:dyDescent="0.3">
      <c r="H108" s="34" t="s">
        <v>120</v>
      </c>
    </row>
    <row r="109" spans="1:34" ht="19.5" thickBot="1" x14ac:dyDescent="0.35">
      <c r="A109" s="31" t="s">
        <v>69</v>
      </c>
      <c r="B109" s="31"/>
      <c r="C109" s="31"/>
      <c r="D109" s="31"/>
      <c r="E109" s="31"/>
      <c r="F109" s="31"/>
      <c r="G109" s="63">
        <f>+J101*J92/100*POWER((1+J92/100),D106)/(POWER((1+J92/100), D106)-1)</f>
        <v>224915.24710524533</v>
      </c>
      <c r="H109" s="61">
        <f>+J102*J93/100*POWER((1+J93/100),D107)/(POWER((1+J93/100),D107)-1)</f>
        <v>224314.67459895814</v>
      </c>
    </row>
    <row r="110" spans="1:34" ht="19.5" thickBot="1" x14ac:dyDescent="0.35">
      <c r="A110" s="31" t="s">
        <v>70</v>
      </c>
      <c r="B110" s="31"/>
      <c r="C110" s="31"/>
      <c r="D110" s="31"/>
      <c r="E110" s="31"/>
      <c r="F110" s="31"/>
      <c r="G110" s="66">
        <f>+J103*J92/100*POWER((1+J92/100),D106)/(POWER((1+J92/100),D106)-1)</f>
        <v>174289.46908778726</v>
      </c>
      <c r="H110" s="65">
        <f>+J104*J93/100*POWER((1+J93/100),D107)/(POWER((1+J93/100),D107)-1)</f>
        <v>173795.86947382841</v>
      </c>
    </row>
  </sheetData>
  <mergeCells count="1">
    <mergeCell ref="A75:F75"/>
  </mergeCells>
  <dataValidations count="1">
    <dataValidation type="list" allowBlank="1" showInputMessage="1" showErrorMessage="1" sqref="A75:F75" xr:uid="{00000000-0002-0000-0300-000000000000}">
      <formula1>ValidFieldM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10"/>
  <sheetViews>
    <sheetView topLeftCell="A74" zoomScale="110" zoomScaleNormal="110" zoomScalePageLayoutView="110" workbookViewId="0">
      <selection activeCell="J109" sqref="J109"/>
    </sheetView>
  </sheetViews>
  <sheetFormatPr defaultColWidth="8.85546875" defaultRowHeight="15" x14ac:dyDescent="0.25"/>
  <cols>
    <col min="7" max="7" width="12.28515625" bestFit="1" customWidth="1"/>
    <col min="8" max="8" width="26" bestFit="1" customWidth="1"/>
    <col min="10" max="10" width="13.42578125" bestFit="1" customWidth="1"/>
    <col min="11" max="29" width="11.140625" bestFit="1" customWidth="1"/>
    <col min="30" max="30" width="11.85546875" customWidth="1"/>
    <col min="31" max="32" width="11" customWidth="1"/>
    <col min="33" max="33" width="11.28515625" customWidth="1"/>
    <col min="34" max="34" width="11.42578125" customWidth="1"/>
  </cols>
  <sheetData>
    <row r="1" spans="1:35" s="31" customFormat="1" ht="18.75" x14ac:dyDescent="0.3">
      <c r="A1" s="31" t="s">
        <v>57</v>
      </c>
    </row>
    <row r="2" spans="1:35" x14ac:dyDescent="0.25">
      <c r="A2" s="29" t="s">
        <v>33</v>
      </c>
      <c r="B2" s="29"/>
      <c r="C2" s="29"/>
      <c r="D2" s="29"/>
      <c r="E2" s="29">
        <v>13842</v>
      </c>
      <c r="F2" s="29" t="s">
        <v>1</v>
      </c>
      <c r="J2" t="s">
        <v>27</v>
      </c>
    </row>
    <row r="3" spans="1:35" ht="15.75" thickBot="1" x14ac:dyDescent="0.3">
      <c r="H3" t="s">
        <v>31</v>
      </c>
      <c r="I3">
        <v>0</v>
      </c>
      <c r="J3">
        <v>1</v>
      </c>
      <c r="K3">
        <v>2</v>
      </c>
      <c r="L3">
        <v>3</v>
      </c>
      <c r="M3">
        <v>4</v>
      </c>
      <c r="N3">
        <v>5</v>
      </c>
      <c r="O3">
        <v>6</v>
      </c>
      <c r="P3">
        <v>7</v>
      </c>
      <c r="Q3">
        <v>8</v>
      </c>
      <c r="R3">
        <v>9</v>
      </c>
      <c r="S3">
        <v>10</v>
      </c>
      <c r="T3">
        <v>11</v>
      </c>
      <c r="U3">
        <v>12</v>
      </c>
      <c r="V3">
        <v>13</v>
      </c>
      <c r="W3">
        <v>14</v>
      </c>
      <c r="X3">
        <v>15</v>
      </c>
      <c r="Y3">
        <v>16</v>
      </c>
      <c r="Z3">
        <v>17</v>
      </c>
      <c r="AA3">
        <v>18</v>
      </c>
      <c r="AB3">
        <v>19</v>
      </c>
      <c r="AC3">
        <v>20</v>
      </c>
      <c r="AD3">
        <v>21</v>
      </c>
      <c r="AE3">
        <v>22</v>
      </c>
      <c r="AF3">
        <v>23</v>
      </c>
      <c r="AG3">
        <v>24</v>
      </c>
      <c r="AH3">
        <v>25</v>
      </c>
    </row>
    <row r="4" spans="1:35" ht="15.75" thickBot="1" x14ac:dyDescent="0.3">
      <c r="A4" t="s">
        <v>56</v>
      </c>
      <c r="D4" s="89">
        <f>'First Sheet'!D5</f>
        <v>13842</v>
      </c>
      <c r="E4" t="s">
        <v>1</v>
      </c>
      <c r="F4" s="89">
        <f>'First Sheet'!B5</f>
        <v>1286</v>
      </c>
      <c r="G4" t="s">
        <v>0</v>
      </c>
      <c r="H4" t="s">
        <v>32</v>
      </c>
      <c r="J4" s="86">
        <v>1</v>
      </c>
      <c r="K4" s="87">
        <f>IF('First Sheet'!$B$8&lt;'Maintenance TS+Paint'!K3,0,1)</f>
        <v>1</v>
      </c>
      <c r="L4" s="87">
        <f>IF('First Sheet'!$B$8&lt;'Maintenance TS+Paint'!L3,0,1)</f>
        <v>1</v>
      </c>
      <c r="M4" s="87">
        <f>IF('First Sheet'!$B$8&lt;'Maintenance TS+Paint'!M3,0,1)</f>
        <v>1</v>
      </c>
      <c r="N4" s="87">
        <f>IF('First Sheet'!$B$8&lt;'Maintenance TS+Paint'!N3,0,1)</f>
        <v>1</v>
      </c>
      <c r="O4" s="87">
        <f>IF('First Sheet'!$B$8&lt;'Maintenance TS+Paint'!O3,0,1)</f>
        <v>1</v>
      </c>
      <c r="P4" s="87">
        <f>IF('First Sheet'!$B$8&lt;'Maintenance TS+Paint'!P3,0,1)</f>
        <v>1</v>
      </c>
      <c r="Q4" s="87">
        <f>IF('First Sheet'!$B$8&lt;'Maintenance TS+Paint'!Q3,0,1)</f>
        <v>1</v>
      </c>
      <c r="R4" s="87">
        <f>IF('First Sheet'!$B$8&lt;'Maintenance TS+Paint'!R3,0,1)</f>
        <v>1</v>
      </c>
      <c r="S4" s="87">
        <f>IF('First Sheet'!$B$8&lt;'Maintenance TS+Paint'!S3,0,1)</f>
        <v>1</v>
      </c>
      <c r="T4" s="87">
        <f>IF('First Sheet'!$B$8&lt;'Maintenance TS+Paint'!T3,0,1)</f>
        <v>1</v>
      </c>
      <c r="U4" s="87">
        <f>IF('First Sheet'!$B$8&lt;'Maintenance TS+Paint'!U3,0,1)</f>
        <v>1</v>
      </c>
      <c r="V4" s="87">
        <f>IF('First Sheet'!$B$8&lt;'Maintenance TS+Paint'!V3,0,1)</f>
        <v>1</v>
      </c>
      <c r="W4" s="87">
        <f>IF('First Sheet'!$B$8&lt;'Maintenance TS+Paint'!W3,0,1)</f>
        <v>1</v>
      </c>
      <c r="X4" s="87">
        <f>IF('First Sheet'!$B$8&lt;'Maintenance TS+Paint'!X3,0,1)</f>
        <v>1</v>
      </c>
      <c r="Y4" s="87">
        <f>IF('First Sheet'!$B$8&lt;'Maintenance TS+Paint'!Y3,0,1)</f>
        <v>1</v>
      </c>
      <c r="Z4" s="87">
        <f>IF('First Sheet'!$B$8&lt;'Maintenance TS+Paint'!Z3,0,1)</f>
        <v>1</v>
      </c>
      <c r="AA4" s="87">
        <f>IF('First Sheet'!$B$8&lt;'Maintenance TS+Paint'!AA3,0,1)</f>
        <v>1</v>
      </c>
      <c r="AB4" s="87">
        <f>IF('First Sheet'!$B$8&lt;'Maintenance TS+Paint'!AB3,0,1)</f>
        <v>1</v>
      </c>
      <c r="AC4" s="87">
        <f>IF('First Sheet'!$B$8&lt;'Maintenance TS+Paint'!AC3,0,1)</f>
        <v>1</v>
      </c>
      <c r="AD4" s="87">
        <f>IF('First Sheet'!$B$8&lt;'Maintenance TS+Paint'!AD3,0,1)</f>
        <v>0</v>
      </c>
      <c r="AE4" s="87">
        <f>IF('First Sheet'!$B$8&lt;'Maintenance TS+Paint'!AE3,0,1)</f>
        <v>0</v>
      </c>
      <c r="AF4" s="87">
        <f>IF('First Sheet'!$B$8&lt;'Maintenance TS+Paint'!AF3,0,1)</f>
        <v>0</v>
      </c>
      <c r="AG4" s="87">
        <f>IF('First Sheet'!$B$8&lt;'Maintenance TS+Paint'!AG3,0,1)</f>
        <v>0</v>
      </c>
      <c r="AH4" s="88">
        <f>IF('First Sheet'!$B$8&lt;'Maintenance TS+Paint'!AH3,0,1)</f>
        <v>0</v>
      </c>
    </row>
    <row r="5" spans="1:35" x14ac:dyDescent="0.25">
      <c r="A5" t="s">
        <v>30</v>
      </c>
      <c r="H5" t="s">
        <v>3</v>
      </c>
      <c r="J5" s="85">
        <v>1</v>
      </c>
      <c r="K5" s="85">
        <v>1</v>
      </c>
      <c r="L5" s="85">
        <v>1</v>
      </c>
      <c r="M5" s="85">
        <v>1</v>
      </c>
      <c r="N5" s="85">
        <v>1</v>
      </c>
      <c r="O5" s="85">
        <v>1</v>
      </c>
      <c r="P5" s="85">
        <v>1</v>
      </c>
      <c r="Q5" s="85">
        <v>1</v>
      </c>
      <c r="R5" s="85">
        <v>1</v>
      </c>
      <c r="S5" s="85">
        <v>1</v>
      </c>
      <c r="T5" s="85">
        <v>1</v>
      </c>
      <c r="U5" s="85">
        <v>1</v>
      </c>
      <c r="V5" s="85">
        <v>1</v>
      </c>
      <c r="W5" s="85">
        <v>1</v>
      </c>
      <c r="X5" s="85">
        <v>1</v>
      </c>
      <c r="Y5" s="85">
        <v>1</v>
      </c>
      <c r="Z5" s="85">
        <v>1</v>
      </c>
      <c r="AA5" s="85">
        <v>1</v>
      </c>
      <c r="AB5" s="85">
        <v>1</v>
      </c>
      <c r="AC5" s="85">
        <v>1</v>
      </c>
      <c r="AD5" s="85">
        <v>0</v>
      </c>
      <c r="AE5" s="85">
        <v>0</v>
      </c>
      <c r="AF5" s="85">
        <v>0</v>
      </c>
      <c r="AG5" s="85">
        <v>0</v>
      </c>
      <c r="AH5" s="85">
        <v>0</v>
      </c>
    </row>
    <row r="7" spans="1:35" x14ac:dyDescent="0.25">
      <c r="A7" t="s">
        <v>37</v>
      </c>
      <c r="H7" t="s">
        <v>34</v>
      </c>
      <c r="J7" s="2">
        <f>+J4/100*D4</f>
        <v>138.42000000000002</v>
      </c>
      <c r="K7" s="2">
        <f>+K4/100*D4</f>
        <v>138.42000000000002</v>
      </c>
      <c r="L7" s="2">
        <f>+L4/100*D4</f>
        <v>138.42000000000002</v>
      </c>
      <c r="M7" s="2">
        <f>+M4/100*D4</f>
        <v>138.42000000000002</v>
      </c>
      <c r="N7" s="2">
        <f>+N4/100*D4</f>
        <v>138.42000000000002</v>
      </c>
      <c r="O7" s="2">
        <f>+O4/100*D4</f>
        <v>138.42000000000002</v>
      </c>
      <c r="P7" s="2">
        <f>+P4/100*D4</f>
        <v>138.42000000000002</v>
      </c>
      <c r="Q7" s="2">
        <f>+Q4/100*D4</f>
        <v>138.42000000000002</v>
      </c>
      <c r="R7" s="2">
        <f>+R4/100*D4</f>
        <v>138.42000000000002</v>
      </c>
      <c r="S7" s="2">
        <f>+S4/100*D4</f>
        <v>138.42000000000002</v>
      </c>
      <c r="T7" s="2">
        <f>+T4/100*D4</f>
        <v>138.42000000000002</v>
      </c>
      <c r="U7" s="2">
        <f>+U4/100*D4</f>
        <v>138.42000000000002</v>
      </c>
      <c r="V7" s="2">
        <f>+V4/100*D4</f>
        <v>138.42000000000002</v>
      </c>
      <c r="W7" s="2">
        <f>+W4/100*D4</f>
        <v>138.42000000000002</v>
      </c>
      <c r="X7" s="2">
        <f>+X4/100*D4</f>
        <v>138.42000000000002</v>
      </c>
      <c r="Y7" s="2">
        <f>+Y4/100*D4</f>
        <v>138.42000000000002</v>
      </c>
      <c r="Z7" s="2">
        <f>+Z4/100*D4</f>
        <v>138.42000000000002</v>
      </c>
      <c r="AA7" s="2">
        <f>+AA4/100*D4</f>
        <v>138.42000000000002</v>
      </c>
      <c r="AB7" s="2">
        <f>+AB4/100*D4</f>
        <v>138.42000000000002</v>
      </c>
      <c r="AC7" s="2">
        <f>+AC4/100*D4</f>
        <v>138.42000000000002</v>
      </c>
      <c r="AD7" s="2">
        <f>+AD4/100*D4</f>
        <v>0</v>
      </c>
      <c r="AE7" s="2">
        <f>+AE4/100*D4</f>
        <v>0</v>
      </c>
      <c r="AF7" s="2">
        <f>+AF4/100*D4</f>
        <v>0</v>
      </c>
      <c r="AG7" s="2">
        <f>+AG4/100*D4</f>
        <v>0</v>
      </c>
      <c r="AH7" s="2">
        <f>+AH4/100*D4</f>
        <v>0</v>
      </c>
      <c r="AI7" t="s">
        <v>27</v>
      </c>
    </row>
    <row r="8" spans="1:35" x14ac:dyDescent="0.25">
      <c r="A8" t="s">
        <v>38</v>
      </c>
      <c r="H8" t="s">
        <v>3</v>
      </c>
      <c r="J8">
        <f>+J5/100*E2</f>
        <v>138.42000000000002</v>
      </c>
      <c r="K8">
        <f>+K5/100*E2</f>
        <v>138.42000000000002</v>
      </c>
      <c r="L8">
        <f>+L5/100*E2</f>
        <v>138.42000000000002</v>
      </c>
      <c r="M8">
        <f>+M5/100*E2</f>
        <v>138.42000000000002</v>
      </c>
      <c r="N8">
        <f>+N5/100*E2</f>
        <v>138.42000000000002</v>
      </c>
      <c r="O8">
        <f>O5/100*E2</f>
        <v>138.42000000000002</v>
      </c>
      <c r="P8">
        <f>+P5/100*E2</f>
        <v>138.42000000000002</v>
      </c>
      <c r="Q8">
        <f>+Q5/100*E2</f>
        <v>138.42000000000002</v>
      </c>
      <c r="R8">
        <f>+R5/100*E2</f>
        <v>138.42000000000002</v>
      </c>
      <c r="S8">
        <f>+S5/100*E2</f>
        <v>138.42000000000002</v>
      </c>
      <c r="T8">
        <f>+T5/100*E2</f>
        <v>138.42000000000002</v>
      </c>
      <c r="U8">
        <f>+U5/100*E2</f>
        <v>138.42000000000002</v>
      </c>
      <c r="V8">
        <f>+V5/100*E2</f>
        <v>138.42000000000002</v>
      </c>
      <c r="W8">
        <f>+W5/100*E2</f>
        <v>138.42000000000002</v>
      </c>
      <c r="X8">
        <f>+X5/100*E2</f>
        <v>138.42000000000002</v>
      </c>
      <c r="Y8">
        <f>+Y5/100*E2</f>
        <v>138.42000000000002</v>
      </c>
      <c r="Z8">
        <f>+Z5/100*E2</f>
        <v>138.42000000000002</v>
      </c>
      <c r="AA8">
        <f>+AA5/100*E2</f>
        <v>138.42000000000002</v>
      </c>
      <c r="AB8">
        <f>+AB5/100*E2</f>
        <v>138.42000000000002</v>
      </c>
      <c r="AC8">
        <f>+AC5/100*E2</f>
        <v>138.42000000000002</v>
      </c>
      <c r="AD8">
        <f>+AD5/100*E2</f>
        <v>0</v>
      </c>
      <c r="AE8">
        <f>+AE5/100*E2</f>
        <v>0</v>
      </c>
      <c r="AF8">
        <f>+AF5/100*E2</f>
        <v>0</v>
      </c>
      <c r="AG8">
        <f>+AG5/100*E2</f>
        <v>0</v>
      </c>
      <c r="AH8">
        <f>+AH5/100*E2</f>
        <v>0</v>
      </c>
    </row>
    <row r="9" spans="1:35" x14ac:dyDescent="0.25">
      <c r="A9" t="s">
        <v>27</v>
      </c>
      <c r="H9" t="s">
        <v>35</v>
      </c>
      <c r="J9" s="2">
        <f>+J4/100*F4</f>
        <v>12.86</v>
      </c>
      <c r="K9" s="2">
        <f>+K4/100*F4</f>
        <v>12.86</v>
      </c>
      <c r="L9" s="2">
        <f>+L4/100*F4</f>
        <v>12.86</v>
      </c>
      <c r="M9" s="2">
        <f>+M4/100*F4</f>
        <v>12.86</v>
      </c>
      <c r="N9" s="2">
        <f>+N4/100*F4</f>
        <v>12.86</v>
      </c>
      <c r="O9" s="2">
        <f>+O4/100*F4</f>
        <v>12.86</v>
      </c>
      <c r="P9" s="2">
        <f>+P4/100*F4</f>
        <v>12.86</v>
      </c>
      <c r="Q9" s="2">
        <f>+Q4/100*F4</f>
        <v>12.86</v>
      </c>
      <c r="R9" s="2">
        <f>+R4/100*F4</f>
        <v>12.86</v>
      </c>
      <c r="S9" s="2">
        <f>+S4/100*F4</f>
        <v>12.86</v>
      </c>
      <c r="T9" s="2">
        <f>+T4/100*F4</f>
        <v>12.86</v>
      </c>
      <c r="U9" s="2">
        <f>+U4/100*F4</f>
        <v>12.86</v>
      </c>
      <c r="V9" s="2">
        <f>+V4/100*F4</f>
        <v>12.86</v>
      </c>
      <c r="W9" s="2">
        <f>+W4/100*F4</f>
        <v>12.86</v>
      </c>
      <c r="X9" s="2">
        <f>+X4/100*F4</f>
        <v>12.86</v>
      </c>
      <c r="Y9" s="2">
        <f>+Y4/100*F4</f>
        <v>12.86</v>
      </c>
      <c r="Z9" s="2">
        <f>+Z4/100*F4</f>
        <v>12.86</v>
      </c>
      <c r="AA9" s="2">
        <f>+AA4/100*F4</f>
        <v>12.86</v>
      </c>
      <c r="AB9" s="2">
        <f>+AB4/100*F4</f>
        <v>12.86</v>
      </c>
      <c r="AC9" s="2">
        <f>+AC4/100*F4</f>
        <v>12.86</v>
      </c>
      <c r="AD9" s="2">
        <f>+AD4/100*F4</f>
        <v>0</v>
      </c>
      <c r="AE9" s="2">
        <f>+AE4/100*F4</f>
        <v>0</v>
      </c>
      <c r="AF9" s="2">
        <f>+AF4/100*F4</f>
        <v>0</v>
      </c>
      <c r="AG9" s="2">
        <f>+AG4/100*F4</f>
        <v>0</v>
      </c>
      <c r="AH9" s="2">
        <f>+AH4/100*F4</f>
        <v>0</v>
      </c>
    </row>
    <row r="10" spans="1:35" x14ac:dyDescent="0.25">
      <c r="H10" t="s">
        <v>3</v>
      </c>
      <c r="J10" s="1">
        <f>+J8*0.0929</f>
        <v>12.859218</v>
      </c>
      <c r="K10" s="1">
        <f t="shared" ref="K10:AH10" si="0">+K8*0.0929</f>
        <v>12.859218</v>
      </c>
      <c r="L10" s="1">
        <f t="shared" si="0"/>
        <v>12.859218</v>
      </c>
      <c r="M10" s="1">
        <f t="shared" si="0"/>
        <v>12.859218</v>
      </c>
      <c r="N10" s="1">
        <f t="shared" si="0"/>
        <v>12.859218</v>
      </c>
      <c r="O10" s="1">
        <f t="shared" si="0"/>
        <v>12.859218</v>
      </c>
      <c r="P10" s="1">
        <f t="shared" si="0"/>
        <v>12.859218</v>
      </c>
      <c r="Q10" s="1">
        <f t="shared" si="0"/>
        <v>12.859218</v>
      </c>
      <c r="R10" s="1">
        <f t="shared" si="0"/>
        <v>12.859218</v>
      </c>
      <c r="S10" s="1">
        <f t="shared" si="0"/>
        <v>12.859218</v>
      </c>
      <c r="T10" s="1">
        <f t="shared" si="0"/>
        <v>12.859218</v>
      </c>
      <c r="U10" s="1">
        <f t="shared" si="0"/>
        <v>12.859218</v>
      </c>
      <c r="V10" s="1">
        <f t="shared" si="0"/>
        <v>12.859218</v>
      </c>
      <c r="W10" s="1">
        <f t="shared" si="0"/>
        <v>12.859218</v>
      </c>
      <c r="X10" s="1">
        <f t="shared" si="0"/>
        <v>12.859218</v>
      </c>
      <c r="Y10" s="1">
        <f t="shared" si="0"/>
        <v>12.859218</v>
      </c>
      <c r="Z10" s="1">
        <f t="shared" si="0"/>
        <v>12.859218</v>
      </c>
      <c r="AA10" s="1">
        <f t="shared" si="0"/>
        <v>12.859218</v>
      </c>
      <c r="AB10" s="1">
        <f t="shared" si="0"/>
        <v>12.859218</v>
      </c>
      <c r="AC10" s="1">
        <f t="shared" si="0"/>
        <v>12.859218</v>
      </c>
      <c r="AD10" s="8">
        <f t="shared" si="0"/>
        <v>0</v>
      </c>
      <c r="AE10" s="8">
        <f t="shared" si="0"/>
        <v>0</v>
      </c>
      <c r="AF10" s="8">
        <f t="shared" si="0"/>
        <v>0</v>
      </c>
      <c r="AG10" s="8">
        <f t="shared" si="0"/>
        <v>0</v>
      </c>
      <c r="AH10" s="8">
        <f t="shared" si="0"/>
        <v>0</v>
      </c>
    </row>
    <row r="12" spans="1:35" ht="15.75" x14ac:dyDescent="0.25">
      <c r="A12" t="s">
        <v>40</v>
      </c>
      <c r="D12" t="s">
        <v>27</v>
      </c>
      <c r="E12" t="s">
        <v>27</v>
      </c>
      <c r="H12" t="s">
        <v>36</v>
      </c>
      <c r="J12" s="24">
        <v>2</v>
      </c>
      <c r="K12" s="24">
        <v>2</v>
      </c>
      <c r="L12" s="24">
        <v>2</v>
      </c>
      <c r="M12" s="24">
        <v>2</v>
      </c>
      <c r="N12" s="24">
        <v>2</v>
      </c>
      <c r="O12" s="24">
        <v>2</v>
      </c>
      <c r="P12" s="24">
        <v>2</v>
      </c>
      <c r="Q12" s="24">
        <v>2</v>
      </c>
      <c r="R12" s="24">
        <v>2</v>
      </c>
      <c r="S12" s="24">
        <v>2</v>
      </c>
      <c r="T12" s="24">
        <v>2</v>
      </c>
      <c r="U12" s="24">
        <v>2</v>
      </c>
      <c r="V12" s="24">
        <v>2</v>
      </c>
      <c r="W12" s="24">
        <v>2</v>
      </c>
      <c r="X12" s="24">
        <v>2</v>
      </c>
      <c r="Y12" s="24">
        <v>2</v>
      </c>
      <c r="Z12" s="24">
        <v>2</v>
      </c>
      <c r="AA12" s="24">
        <v>2</v>
      </c>
      <c r="AB12" s="24">
        <v>2</v>
      </c>
      <c r="AC12" s="24">
        <v>2</v>
      </c>
      <c r="AD12" s="24">
        <v>2</v>
      </c>
      <c r="AE12" s="24">
        <v>2</v>
      </c>
      <c r="AF12" s="24">
        <v>2</v>
      </c>
      <c r="AG12" s="24">
        <v>2</v>
      </c>
      <c r="AH12" s="24">
        <v>2</v>
      </c>
      <c r="AI12" s="12" t="s">
        <v>27</v>
      </c>
    </row>
    <row r="13" spans="1:35" x14ac:dyDescent="0.25">
      <c r="H13" t="s">
        <v>3</v>
      </c>
      <c r="J13" s="29">
        <v>2</v>
      </c>
      <c r="K13" s="29">
        <v>2</v>
      </c>
      <c r="L13" s="29">
        <v>2</v>
      </c>
      <c r="M13" s="29">
        <v>2</v>
      </c>
      <c r="N13" s="29">
        <v>2</v>
      </c>
      <c r="O13" s="29">
        <v>2</v>
      </c>
      <c r="P13" s="29">
        <v>2</v>
      </c>
      <c r="Q13" s="29">
        <v>2</v>
      </c>
      <c r="R13" s="29">
        <v>2</v>
      </c>
      <c r="S13" s="29">
        <v>2</v>
      </c>
      <c r="T13" s="29">
        <v>2</v>
      </c>
      <c r="U13" s="29">
        <v>2</v>
      </c>
      <c r="V13" s="29">
        <v>2</v>
      </c>
      <c r="W13" s="29">
        <v>2</v>
      </c>
      <c r="X13" s="29">
        <v>2</v>
      </c>
      <c r="Y13" s="29">
        <v>2</v>
      </c>
      <c r="Z13" s="29">
        <v>2</v>
      </c>
      <c r="AA13" s="29">
        <v>2</v>
      </c>
      <c r="AB13" s="29">
        <v>2</v>
      </c>
      <c r="AC13" s="29">
        <v>2</v>
      </c>
      <c r="AD13" s="29">
        <v>2</v>
      </c>
      <c r="AE13" s="29">
        <v>2</v>
      </c>
      <c r="AF13" s="29">
        <v>2</v>
      </c>
      <c r="AG13" s="29">
        <v>2</v>
      </c>
      <c r="AH13" s="29">
        <v>2</v>
      </c>
    </row>
    <row r="15" spans="1:35" x14ac:dyDescent="0.25">
      <c r="A15" s="26" t="s">
        <v>39</v>
      </c>
      <c r="I15" t="s">
        <v>55</v>
      </c>
    </row>
    <row r="16" spans="1:35" ht="15.75" x14ac:dyDescent="0.25">
      <c r="A16" t="s">
        <v>84</v>
      </c>
      <c r="H16" t="s">
        <v>6</v>
      </c>
      <c r="I16" s="24">
        <v>0.3</v>
      </c>
      <c r="J16" s="16">
        <f>I16*(1+(J12/100))</f>
        <v>0.30599999999999999</v>
      </c>
      <c r="K16" s="14">
        <f t="shared" ref="K16:AH16" si="1">J16*(1+(K12/100))</f>
        <v>0.31212000000000001</v>
      </c>
      <c r="L16" s="15">
        <f t="shared" si="1"/>
        <v>0.31836239999999999</v>
      </c>
      <c r="M16" s="15">
        <f t="shared" si="1"/>
        <v>0.32472964799999998</v>
      </c>
      <c r="N16" s="15">
        <f t="shared" si="1"/>
        <v>0.33122424095999997</v>
      </c>
      <c r="O16" s="15">
        <f t="shared" si="1"/>
        <v>0.3378487257792</v>
      </c>
      <c r="P16" s="15">
        <f t="shared" si="1"/>
        <v>0.34460570029478399</v>
      </c>
      <c r="Q16" s="15">
        <f t="shared" si="1"/>
        <v>0.35149781430067967</v>
      </c>
      <c r="R16" s="15">
        <f t="shared" si="1"/>
        <v>0.35852777058669327</v>
      </c>
      <c r="S16" s="15">
        <f t="shared" si="1"/>
        <v>0.36569832599842717</v>
      </c>
      <c r="T16" s="15">
        <f t="shared" si="1"/>
        <v>0.37301229251839574</v>
      </c>
      <c r="U16" s="15">
        <f t="shared" si="1"/>
        <v>0.38047253836876366</v>
      </c>
      <c r="V16" s="15">
        <f t="shared" si="1"/>
        <v>0.38808198913613895</v>
      </c>
      <c r="W16" s="15">
        <f t="shared" si="1"/>
        <v>0.39584362891886171</v>
      </c>
      <c r="X16" s="15">
        <f t="shared" si="1"/>
        <v>0.40376050149723897</v>
      </c>
      <c r="Y16" s="15">
        <f t="shared" si="1"/>
        <v>0.41183571152718373</v>
      </c>
      <c r="Z16" s="15">
        <f t="shared" si="1"/>
        <v>0.42007242575772741</v>
      </c>
      <c r="AA16" s="15">
        <f t="shared" si="1"/>
        <v>0.42847387427288197</v>
      </c>
      <c r="AB16" s="15">
        <f t="shared" si="1"/>
        <v>0.43704335175833964</v>
      </c>
      <c r="AC16" s="15">
        <f t="shared" si="1"/>
        <v>0.44578421879350644</v>
      </c>
      <c r="AD16" s="15">
        <f t="shared" si="1"/>
        <v>0.45469990316937658</v>
      </c>
      <c r="AE16" s="15">
        <f t="shared" si="1"/>
        <v>0.46379390123276415</v>
      </c>
      <c r="AF16" s="15">
        <f t="shared" si="1"/>
        <v>0.47306977925741944</v>
      </c>
      <c r="AG16" s="15">
        <f t="shared" si="1"/>
        <v>0.48253117484256786</v>
      </c>
      <c r="AH16" s="16">
        <f t="shared" si="1"/>
        <v>0.49218179833941922</v>
      </c>
    </row>
    <row r="17" spans="1:35" x14ac:dyDescent="0.25">
      <c r="H17" t="s">
        <v>7</v>
      </c>
      <c r="I17">
        <v>0.21</v>
      </c>
      <c r="J17" s="1">
        <f>I17*(1+(J13/100))</f>
        <v>0.2142</v>
      </c>
      <c r="K17" s="1">
        <f>+J17*(1+(K13/100))</f>
        <v>0.21848400000000001</v>
      </c>
      <c r="L17" s="1">
        <f>+K17*(1+(L13/100))</f>
        <v>0.22285368000000003</v>
      </c>
      <c r="M17" s="1">
        <f t="shared" ref="M17:AC17" si="2">+L17*(1+(M13/100))</f>
        <v>0.22731075360000003</v>
      </c>
      <c r="N17" s="1">
        <f t="shared" si="2"/>
        <v>0.23185696867200004</v>
      </c>
      <c r="O17" s="1">
        <f t="shared" si="2"/>
        <v>0.23649410804544005</v>
      </c>
      <c r="P17" s="1">
        <f t="shared" si="2"/>
        <v>0.24122399020634885</v>
      </c>
      <c r="Q17" s="1">
        <f t="shared" si="2"/>
        <v>0.24604847001047583</v>
      </c>
      <c r="R17" s="1">
        <f t="shared" si="2"/>
        <v>0.25096943941068534</v>
      </c>
      <c r="S17" s="1">
        <f t="shared" si="2"/>
        <v>0.25598882819889907</v>
      </c>
      <c r="T17" s="1">
        <f t="shared" si="2"/>
        <v>0.26110860476287706</v>
      </c>
      <c r="U17" s="1">
        <f t="shared" si="2"/>
        <v>0.26633077685813461</v>
      </c>
      <c r="V17" s="1">
        <f t="shared" si="2"/>
        <v>0.27165739239529729</v>
      </c>
      <c r="W17" s="1">
        <f t="shared" si="2"/>
        <v>0.27709054024320323</v>
      </c>
      <c r="X17" s="1">
        <f t="shared" si="2"/>
        <v>0.28263235104806728</v>
      </c>
      <c r="Y17" s="1">
        <f t="shared" si="2"/>
        <v>0.28828499806902863</v>
      </c>
      <c r="Z17" s="1">
        <f t="shared" si="2"/>
        <v>0.29405069803040923</v>
      </c>
      <c r="AA17" s="1">
        <f t="shared" si="2"/>
        <v>0.29993171199101742</v>
      </c>
      <c r="AB17" s="1">
        <f t="shared" si="2"/>
        <v>0.30593034623083776</v>
      </c>
      <c r="AC17" s="1">
        <f t="shared" si="2"/>
        <v>0.3120489531554545</v>
      </c>
      <c r="AD17">
        <v>0</v>
      </c>
      <c r="AE17">
        <v>0</v>
      </c>
      <c r="AF17">
        <v>0</v>
      </c>
      <c r="AG17">
        <v>0</v>
      </c>
      <c r="AH17">
        <v>0</v>
      </c>
      <c r="AI17" t="s">
        <v>27</v>
      </c>
    </row>
    <row r="18" spans="1:35" ht="15.75" x14ac:dyDescent="0.25">
      <c r="H18" t="s">
        <v>5</v>
      </c>
      <c r="I18" s="24">
        <v>2.5</v>
      </c>
      <c r="J18" s="15">
        <f>I18*(1+(J12/100))</f>
        <v>2.5499999999999998</v>
      </c>
      <c r="K18" s="15">
        <f t="shared" ref="K18:AH18" si="3">J18*(1+(K12/100))</f>
        <v>2.601</v>
      </c>
      <c r="L18" s="15">
        <f t="shared" si="3"/>
        <v>2.6530200000000002</v>
      </c>
      <c r="M18" s="15">
        <f t="shared" si="3"/>
        <v>2.7060804000000003</v>
      </c>
      <c r="N18" s="15">
        <f t="shared" si="3"/>
        <v>2.7602020080000003</v>
      </c>
      <c r="O18" s="15">
        <f t="shared" si="3"/>
        <v>2.8154060481600003</v>
      </c>
      <c r="P18" s="15">
        <f t="shared" si="3"/>
        <v>2.8717141691232002</v>
      </c>
      <c r="Q18" s="15">
        <f t="shared" si="3"/>
        <v>2.9291484525056641</v>
      </c>
      <c r="R18" s="15">
        <f t="shared" si="3"/>
        <v>2.9877314215557775</v>
      </c>
      <c r="S18" s="15">
        <f t="shared" si="3"/>
        <v>3.047486049986893</v>
      </c>
      <c r="T18" s="15">
        <f t="shared" si="3"/>
        <v>3.108435770986631</v>
      </c>
      <c r="U18" s="15">
        <f t="shared" si="3"/>
        <v>3.1706044864063636</v>
      </c>
      <c r="V18" s="15">
        <f t="shared" si="3"/>
        <v>3.2340165761344908</v>
      </c>
      <c r="W18" s="15">
        <f t="shared" si="3"/>
        <v>3.2986969076571806</v>
      </c>
      <c r="X18" s="15">
        <f t="shared" si="3"/>
        <v>3.3646708458103243</v>
      </c>
      <c r="Y18" s="15">
        <f t="shared" si="3"/>
        <v>3.431964262726531</v>
      </c>
      <c r="Z18" s="15">
        <f t="shared" si="3"/>
        <v>3.5006035479810618</v>
      </c>
      <c r="AA18" s="15">
        <f t="shared" si="3"/>
        <v>3.5706156189406832</v>
      </c>
      <c r="AB18" s="15">
        <f t="shared" si="3"/>
        <v>3.6420279313194968</v>
      </c>
      <c r="AC18" s="15">
        <f t="shared" si="3"/>
        <v>3.7148684899458866</v>
      </c>
      <c r="AD18" s="15">
        <f t="shared" si="3"/>
        <v>3.7891658597448044</v>
      </c>
      <c r="AE18" s="15">
        <f t="shared" si="3"/>
        <v>3.8649491769397004</v>
      </c>
      <c r="AF18" s="15">
        <f t="shared" si="3"/>
        <v>3.9422481604784947</v>
      </c>
      <c r="AG18" s="15">
        <f t="shared" si="3"/>
        <v>4.0210931236880647</v>
      </c>
      <c r="AH18" s="16">
        <f t="shared" si="3"/>
        <v>4.1015149861618259</v>
      </c>
    </row>
    <row r="19" spans="1:35" x14ac:dyDescent="0.25">
      <c r="H19" t="s">
        <v>25</v>
      </c>
      <c r="I19" s="1">
        <f>+I17*8.34</f>
        <v>1.7513999999999998</v>
      </c>
      <c r="J19" s="1">
        <f>I19*(1+(J13/100))</f>
        <v>1.7864279999999999</v>
      </c>
      <c r="K19" s="1">
        <f>+J19*(1+(K13/100))</f>
        <v>1.82215656</v>
      </c>
      <c r="L19" s="1">
        <f t="shared" ref="L19:AC19" si="4">+K19*(1+(L13/100))</f>
        <v>1.8585996912</v>
      </c>
      <c r="M19" s="1">
        <f t="shared" si="4"/>
        <v>1.8957716850240001</v>
      </c>
      <c r="N19" s="1">
        <f t="shared" si="4"/>
        <v>1.9336871187244802</v>
      </c>
      <c r="O19" s="1">
        <f t="shared" si="4"/>
        <v>1.9723608610989698</v>
      </c>
      <c r="P19" s="1">
        <f t="shared" si="4"/>
        <v>2.0118080783209491</v>
      </c>
      <c r="Q19" s="1">
        <f t="shared" si="4"/>
        <v>2.0520442398873682</v>
      </c>
      <c r="R19" s="1">
        <f t="shared" si="4"/>
        <v>2.0930851246851154</v>
      </c>
      <c r="S19" s="1">
        <f t="shared" si="4"/>
        <v>2.1349468271788177</v>
      </c>
      <c r="T19" s="1">
        <f t="shared" si="4"/>
        <v>2.1776457637223943</v>
      </c>
      <c r="U19" s="1">
        <f t="shared" si="4"/>
        <v>2.2211986789968421</v>
      </c>
      <c r="V19" s="1">
        <f t="shared" si="4"/>
        <v>2.2656226525767789</v>
      </c>
      <c r="W19" s="1">
        <f t="shared" si="4"/>
        <v>2.3109351056283143</v>
      </c>
      <c r="X19" s="1">
        <f t="shared" si="4"/>
        <v>2.3571538077408807</v>
      </c>
      <c r="Y19" s="1">
        <f t="shared" si="4"/>
        <v>2.4042968838956984</v>
      </c>
      <c r="Z19" s="1">
        <f t="shared" si="4"/>
        <v>2.4523828215736123</v>
      </c>
      <c r="AA19" s="1">
        <f t="shared" si="4"/>
        <v>2.5014304780050844</v>
      </c>
      <c r="AB19" s="1">
        <f t="shared" si="4"/>
        <v>2.5514590875651861</v>
      </c>
      <c r="AC19" s="1">
        <f t="shared" si="4"/>
        <v>2.6024882693164897</v>
      </c>
      <c r="AD19">
        <v>0</v>
      </c>
      <c r="AE19">
        <v>0</v>
      </c>
      <c r="AF19">
        <v>0</v>
      </c>
      <c r="AG19">
        <v>0</v>
      </c>
      <c r="AH19">
        <v>0</v>
      </c>
    </row>
    <row r="21" spans="1:35" ht="15.75" x14ac:dyDescent="0.25">
      <c r="A21" t="s">
        <v>85</v>
      </c>
      <c r="H21" t="s">
        <v>6</v>
      </c>
      <c r="I21" s="24">
        <v>0.24</v>
      </c>
      <c r="J21" s="17">
        <f>I21*(1+J12/100)</f>
        <v>0.24479999999999999</v>
      </c>
      <c r="K21" s="15">
        <f t="shared" ref="K21:AH21" si="5">J21*(1+K12/100)</f>
        <v>0.249696</v>
      </c>
      <c r="L21" s="15">
        <f t="shared" si="5"/>
        <v>0.25468992000000001</v>
      </c>
      <c r="M21" s="15">
        <f t="shared" si="5"/>
        <v>0.25978371840000003</v>
      </c>
      <c r="N21" s="15">
        <f t="shared" si="5"/>
        <v>0.26497939276800003</v>
      </c>
      <c r="O21" s="15">
        <f t="shared" si="5"/>
        <v>0.27027898062336003</v>
      </c>
      <c r="P21" s="15">
        <f t="shared" si="5"/>
        <v>0.27568456023582721</v>
      </c>
      <c r="Q21" s="15">
        <f t="shared" si="5"/>
        <v>0.28119825144054378</v>
      </c>
      <c r="R21" s="15">
        <f t="shared" si="5"/>
        <v>0.28682221646935468</v>
      </c>
      <c r="S21" s="15">
        <f t="shared" si="5"/>
        <v>0.29255866079874177</v>
      </c>
      <c r="T21" s="15">
        <f t="shared" si="5"/>
        <v>0.2984098340147166</v>
      </c>
      <c r="U21" s="15">
        <f t="shared" si="5"/>
        <v>0.30437803069501096</v>
      </c>
      <c r="V21" s="15">
        <f t="shared" si="5"/>
        <v>0.31046559130891116</v>
      </c>
      <c r="W21" s="15">
        <f t="shared" si="5"/>
        <v>0.31667490313508939</v>
      </c>
      <c r="X21" s="15">
        <f t="shared" si="5"/>
        <v>0.32300840119779117</v>
      </c>
      <c r="Y21" s="15">
        <f t="shared" si="5"/>
        <v>0.329468569221747</v>
      </c>
      <c r="Z21" s="15">
        <f t="shared" si="5"/>
        <v>0.33605794060618194</v>
      </c>
      <c r="AA21" s="15">
        <f t="shared" si="5"/>
        <v>0.34277909941830559</v>
      </c>
      <c r="AB21" s="15">
        <f t="shared" si="5"/>
        <v>0.3496346814066717</v>
      </c>
      <c r="AC21" s="15">
        <f t="shared" si="5"/>
        <v>0.35662737503480513</v>
      </c>
      <c r="AD21" s="15">
        <f t="shared" si="5"/>
        <v>0.36375992253550121</v>
      </c>
      <c r="AE21" s="15">
        <f t="shared" si="5"/>
        <v>0.37103512098621122</v>
      </c>
      <c r="AF21" s="15">
        <f t="shared" si="5"/>
        <v>0.37845582340593548</v>
      </c>
      <c r="AG21" s="15">
        <f t="shared" si="5"/>
        <v>0.38602493987405417</v>
      </c>
      <c r="AH21" s="16">
        <f t="shared" si="5"/>
        <v>0.39374543867153527</v>
      </c>
    </row>
    <row r="22" spans="1:35" x14ac:dyDescent="0.25">
      <c r="H22" t="s">
        <v>7</v>
      </c>
      <c r="I22">
        <v>0.187</v>
      </c>
      <c r="J22" s="1">
        <f>I22*(1+J13/100)</f>
        <v>0.19073999999999999</v>
      </c>
      <c r="K22" s="1">
        <f>+J22*(1+K13/100)</f>
        <v>0.1945548</v>
      </c>
      <c r="L22" s="1">
        <f t="shared" ref="L22:AC22" si="6">+K22*(1+L13/100)</f>
        <v>0.19844589600000001</v>
      </c>
      <c r="M22" s="1">
        <f t="shared" si="6"/>
        <v>0.20241481392000002</v>
      </c>
      <c r="N22" s="1">
        <f t="shared" si="6"/>
        <v>0.20646311019840002</v>
      </c>
      <c r="O22" s="1">
        <f t="shared" si="6"/>
        <v>0.21059237240236803</v>
      </c>
      <c r="P22" s="1">
        <f t="shared" si="6"/>
        <v>0.2148042198504154</v>
      </c>
      <c r="Q22" s="1">
        <f t="shared" si="6"/>
        <v>0.21910030424742372</v>
      </c>
      <c r="R22" s="1">
        <f t="shared" si="6"/>
        <v>0.2234823103323722</v>
      </c>
      <c r="S22" s="1">
        <f t="shared" si="6"/>
        <v>0.22795195653901965</v>
      </c>
      <c r="T22" s="1">
        <f t="shared" si="6"/>
        <v>0.23251099566980005</v>
      </c>
      <c r="U22" s="1">
        <f t="shared" si="6"/>
        <v>0.23716121558319606</v>
      </c>
      <c r="V22" s="1">
        <f t="shared" si="6"/>
        <v>0.24190443989485999</v>
      </c>
      <c r="W22" s="1">
        <f t="shared" si="6"/>
        <v>0.2467425286927572</v>
      </c>
      <c r="X22" s="1">
        <f t="shared" si="6"/>
        <v>0.25167737926661232</v>
      </c>
      <c r="Y22" s="1">
        <f t="shared" si="6"/>
        <v>0.25671092685194458</v>
      </c>
      <c r="Z22" s="1">
        <f t="shared" si="6"/>
        <v>0.26184514538898346</v>
      </c>
      <c r="AA22" s="1">
        <f t="shared" si="6"/>
        <v>0.26708204829676313</v>
      </c>
      <c r="AB22" s="1">
        <f t="shared" si="6"/>
        <v>0.27242368926269839</v>
      </c>
      <c r="AC22" s="1">
        <f t="shared" si="6"/>
        <v>0.27787216304795237</v>
      </c>
      <c r="AD22">
        <v>0</v>
      </c>
      <c r="AE22">
        <v>0</v>
      </c>
      <c r="AF22">
        <v>0</v>
      </c>
      <c r="AG22">
        <v>0</v>
      </c>
      <c r="AH22">
        <v>0</v>
      </c>
    </row>
    <row r="23" spans="1:35" ht="15.75" x14ac:dyDescent="0.25">
      <c r="H23" t="s">
        <v>5</v>
      </c>
      <c r="I23" s="24">
        <v>2</v>
      </c>
      <c r="J23" s="17">
        <f>I23*(1+J12/100)</f>
        <v>2.04</v>
      </c>
      <c r="K23" s="15">
        <f t="shared" ref="K23:AH23" si="7">J23*(1+K12/100)</f>
        <v>2.0808</v>
      </c>
      <c r="L23" s="15">
        <f t="shared" si="7"/>
        <v>2.1224159999999999</v>
      </c>
      <c r="M23" s="15">
        <f t="shared" si="7"/>
        <v>2.16486432</v>
      </c>
      <c r="N23" s="15">
        <f t="shared" si="7"/>
        <v>2.2081616064</v>
      </c>
      <c r="O23" s="15">
        <f t="shared" si="7"/>
        <v>2.2523248385280001</v>
      </c>
      <c r="P23" s="15">
        <f t="shared" si="7"/>
        <v>2.2973713352985601</v>
      </c>
      <c r="Q23" s="15">
        <f t="shared" si="7"/>
        <v>2.3433187620045315</v>
      </c>
      <c r="R23" s="15">
        <f t="shared" si="7"/>
        <v>2.3901851372446221</v>
      </c>
      <c r="S23" s="15">
        <f t="shared" si="7"/>
        <v>2.4379888399895147</v>
      </c>
      <c r="T23" s="15">
        <f t="shared" si="7"/>
        <v>2.4867486167893049</v>
      </c>
      <c r="U23" s="15">
        <f t="shared" si="7"/>
        <v>2.536483589125091</v>
      </c>
      <c r="V23" s="15">
        <f t="shared" si="7"/>
        <v>2.5872132609075926</v>
      </c>
      <c r="W23" s="15">
        <f t="shared" si="7"/>
        <v>2.6389575261257447</v>
      </c>
      <c r="X23" s="15">
        <f t="shared" si="7"/>
        <v>2.6917366766482598</v>
      </c>
      <c r="Y23" s="15">
        <f t="shared" si="7"/>
        <v>2.745571410181225</v>
      </c>
      <c r="Z23" s="15">
        <f t="shared" si="7"/>
        <v>2.8004828383848497</v>
      </c>
      <c r="AA23" s="15">
        <f t="shared" si="7"/>
        <v>2.8564924951525468</v>
      </c>
      <c r="AB23" s="15">
        <f t="shared" si="7"/>
        <v>2.9136223450555976</v>
      </c>
      <c r="AC23" s="15">
        <f t="shared" si="7"/>
        <v>2.9718947919567098</v>
      </c>
      <c r="AD23" s="15">
        <f t="shared" si="7"/>
        <v>3.0313326877958442</v>
      </c>
      <c r="AE23" s="15">
        <f t="shared" si="7"/>
        <v>3.0919593415517612</v>
      </c>
      <c r="AF23" s="15">
        <f t="shared" si="7"/>
        <v>3.1537985283827963</v>
      </c>
      <c r="AG23" s="15">
        <f t="shared" si="7"/>
        <v>3.2168744989504523</v>
      </c>
      <c r="AH23" s="16">
        <f t="shared" si="7"/>
        <v>3.2812119889294613</v>
      </c>
    </row>
    <row r="24" spans="1:35" x14ac:dyDescent="0.25">
      <c r="H24" t="s">
        <v>25</v>
      </c>
      <c r="I24" s="1">
        <f>+I22*8.34</f>
        <v>1.55958</v>
      </c>
      <c r="J24" s="1">
        <f>I24*(1+J13/100)</f>
        <v>1.5907716000000001</v>
      </c>
      <c r="K24" s="1">
        <f>+J24*(1+K13/100)</f>
        <v>1.622587032</v>
      </c>
      <c r="L24" s="1">
        <f t="shared" ref="L24:AC24" si="8">+K24*(1+L13/100)</f>
        <v>1.65503877264</v>
      </c>
      <c r="M24" s="1">
        <f t="shared" si="8"/>
        <v>1.6881395480928001</v>
      </c>
      <c r="N24" s="1">
        <f t="shared" si="8"/>
        <v>1.7219023390546562</v>
      </c>
      <c r="O24" s="1">
        <f t="shared" si="8"/>
        <v>1.7563403858357494</v>
      </c>
      <c r="P24" s="1">
        <f t="shared" si="8"/>
        <v>1.7914671935524644</v>
      </c>
      <c r="Q24" s="1">
        <f t="shared" si="8"/>
        <v>1.8272965374235137</v>
      </c>
      <c r="R24" s="1">
        <f t="shared" si="8"/>
        <v>1.8638424681719841</v>
      </c>
      <c r="S24" s="1">
        <f t="shared" si="8"/>
        <v>1.9011193175354237</v>
      </c>
      <c r="T24" s="1">
        <f t="shared" si="8"/>
        <v>1.9391417038861323</v>
      </c>
      <c r="U24" s="1">
        <f t="shared" si="8"/>
        <v>1.977924537963855</v>
      </c>
      <c r="V24" s="1">
        <f t="shared" si="8"/>
        <v>2.0174830287231322</v>
      </c>
      <c r="W24" s="1">
        <f t="shared" si="8"/>
        <v>2.0578326892975949</v>
      </c>
      <c r="X24" s="1">
        <f t="shared" si="8"/>
        <v>2.0989893430835469</v>
      </c>
      <c r="Y24" s="1">
        <f t="shared" si="8"/>
        <v>2.1409691299452178</v>
      </c>
      <c r="Z24" s="1">
        <f t="shared" si="8"/>
        <v>2.1837885125441221</v>
      </c>
      <c r="AA24" s="1">
        <f t="shared" si="8"/>
        <v>2.2274642827950046</v>
      </c>
      <c r="AB24" s="1">
        <f t="shared" si="8"/>
        <v>2.2720135684509049</v>
      </c>
      <c r="AC24" s="1">
        <f t="shared" si="8"/>
        <v>2.3174538398199229</v>
      </c>
      <c r="AD24">
        <v>0</v>
      </c>
      <c r="AE24">
        <v>0</v>
      </c>
      <c r="AF24">
        <v>0</v>
      </c>
      <c r="AG24">
        <v>0</v>
      </c>
      <c r="AH24">
        <v>0</v>
      </c>
    </row>
    <row r="26" spans="1:35" ht="15.75" x14ac:dyDescent="0.25">
      <c r="A26" t="s">
        <v>85</v>
      </c>
      <c r="H26" t="s">
        <v>6</v>
      </c>
      <c r="I26" s="24">
        <v>0.3</v>
      </c>
      <c r="J26" s="17">
        <f>I26*(1+J12/100)</f>
        <v>0.30599999999999999</v>
      </c>
      <c r="K26" s="15">
        <f t="shared" ref="K26:AH26" si="9">J26*(1+K12/100)</f>
        <v>0.31212000000000001</v>
      </c>
      <c r="L26" s="15">
        <f t="shared" si="9"/>
        <v>0.31836239999999999</v>
      </c>
      <c r="M26" s="15">
        <f t="shared" si="9"/>
        <v>0.32472964799999998</v>
      </c>
      <c r="N26" s="15">
        <f t="shared" si="9"/>
        <v>0.33122424095999997</v>
      </c>
      <c r="O26" s="15">
        <f t="shared" si="9"/>
        <v>0.3378487257792</v>
      </c>
      <c r="P26" s="15">
        <f t="shared" si="9"/>
        <v>0.34460570029478399</v>
      </c>
      <c r="Q26" s="15">
        <f t="shared" si="9"/>
        <v>0.35149781430067967</v>
      </c>
      <c r="R26" s="15">
        <f t="shared" si="9"/>
        <v>0.35852777058669327</v>
      </c>
      <c r="S26" s="15">
        <f t="shared" si="9"/>
        <v>0.36569832599842717</v>
      </c>
      <c r="T26" s="15">
        <f t="shared" si="9"/>
        <v>0.37301229251839574</v>
      </c>
      <c r="U26" s="15">
        <f t="shared" si="9"/>
        <v>0.38047253836876366</v>
      </c>
      <c r="V26" s="15">
        <f t="shared" si="9"/>
        <v>0.38808198913613895</v>
      </c>
      <c r="W26" s="15">
        <f t="shared" si="9"/>
        <v>0.39584362891886171</v>
      </c>
      <c r="X26" s="15">
        <f t="shared" si="9"/>
        <v>0.40376050149723897</v>
      </c>
      <c r="Y26" s="15">
        <f t="shared" si="9"/>
        <v>0.41183571152718373</v>
      </c>
      <c r="Z26" s="15">
        <f t="shared" si="9"/>
        <v>0.42007242575772741</v>
      </c>
      <c r="AA26" s="15">
        <f t="shared" si="9"/>
        <v>0.42847387427288197</v>
      </c>
      <c r="AB26" s="15">
        <f t="shared" si="9"/>
        <v>0.43704335175833964</v>
      </c>
      <c r="AC26" s="15">
        <f t="shared" si="9"/>
        <v>0.44578421879350644</v>
      </c>
      <c r="AD26" s="15">
        <f t="shared" si="9"/>
        <v>0.45469990316937658</v>
      </c>
      <c r="AE26" s="15">
        <f t="shared" si="9"/>
        <v>0.46379390123276415</v>
      </c>
      <c r="AF26" s="15">
        <f t="shared" si="9"/>
        <v>0.47306977925741944</v>
      </c>
      <c r="AG26" s="15">
        <f t="shared" si="9"/>
        <v>0.48253117484256786</v>
      </c>
      <c r="AH26" s="16">
        <f t="shared" si="9"/>
        <v>0.49218179833941922</v>
      </c>
    </row>
    <row r="27" spans="1:35" x14ac:dyDescent="0.25">
      <c r="H27" t="s">
        <v>7</v>
      </c>
      <c r="I27">
        <v>0.187</v>
      </c>
      <c r="J27" s="1">
        <f>I27*(1+J13/100)</f>
        <v>0.19073999999999999</v>
      </c>
      <c r="K27" s="1">
        <f>+J27*(1+K13/100)</f>
        <v>0.1945548</v>
      </c>
      <c r="L27" s="1">
        <f t="shared" ref="L27:AC27" si="10">+K27*(1+L13/100)</f>
        <v>0.19844589600000001</v>
      </c>
      <c r="M27" s="1">
        <f t="shared" si="10"/>
        <v>0.20241481392000002</v>
      </c>
      <c r="N27" s="1">
        <f t="shared" si="10"/>
        <v>0.20646311019840002</v>
      </c>
      <c r="O27" s="1">
        <f t="shared" si="10"/>
        <v>0.21059237240236803</v>
      </c>
      <c r="P27" s="1">
        <f t="shared" si="10"/>
        <v>0.2148042198504154</v>
      </c>
      <c r="Q27" s="1">
        <f t="shared" si="10"/>
        <v>0.21910030424742372</v>
      </c>
      <c r="R27" s="1">
        <f t="shared" si="10"/>
        <v>0.2234823103323722</v>
      </c>
      <c r="S27" s="1">
        <f t="shared" si="10"/>
        <v>0.22795195653901965</v>
      </c>
      <c r="T27" s="1">
        <f t="shared" si="10"/>
        <v>0.23251099566980005</v>
      </c>
      <c r="U27" s="1">
        <f t="shared" si="10"/>
        <v>0.23716121558319606</v>
      </c>
      <c r="V27" s="1">
        <f t="shared" si="10"/>
        <v>0.24190443989485999</v>
      </c>
      <c r="W27" s="1">
        <f t="shared" si="10"/>
        <v>0.2467425286927572</v>
      </c>
      <c r="X27" s="1">
        <f t="shared" si="10"/>
        <v>0.25167737926661232</v>
      </c>
      <c r="Y27" s="1">
        <f t="shared" si="10"/>
        <v>0.25671092685194458</v>
      </c>
      <c r="Z27" s="1">
        <f t="shared" si="10"/>
        <v>0.26184514538898346</v>
      </c>
      <c r="AA27" s="1">
        <f t="shared" si="10"/>
        <v>0.26708204829676313</v>
      </c>
      <c r="AB27" s="1">
        <f t="shared" si="10"/>
        <v>0.27242368926269839</v>
      </c>
      <c r="AC27" s="1">
        <f t="shared" si="10"/>
        <v>0.27787216304795237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</row>
    <row r="28" spans="1:35" ht="15.75" x14ac:dyDescent="0.25">
      <c r="H28" t="s">
        <v>5</v>
      </c>
      <c r="I28" s="24">
        <v>2.5</v>
      </c>
      <c r="J28" s="17">
        <f>I28*(1+J12/100)</f>
        <v>2.5499999999999998</v>
      </c>
      <c r="K28" s="15">
        <f t="shared" ref="K28:AH28" si="11">J28*(1+K12/100)</f>
        <v>2.601</v>
      </c>
      <c r="L28" s="15">
        <f t="shared" si="11"/>
        <v>2.6530200000000002</v>
      </c>
      <c r="M28" s="15">
        <f t="shared" si="11"/>
        <v>2.7060804000000003</v>
      </c>
      <c r="N28" s="15">
        <f t="shared" si="11"/>
        <v>2.7602020080000003</v>
      </c>
      <c r="O28" s="15">
        <f t="shared" si="11"/>
        <v>2.8154060481600003</v>
      </c>
      <c r="P28" s="15">
        <f t="shared" si="11"/>
        <v>2.8717141691232002</v>
      </c>
      <c r="Q28" s="15">
        <f t="shared" si="11"/>
        <v>2.9291484525056641</v>
      </c>
      <c r="R28" s="15">
        <f t="shared" si="11"/>
        <v>2.9877314215557775</v>
      </c>
      <c r="S28" s="15">
        <f t="shared" si="11"/>
        <v>3.047486049986893</v>
      </c>
      <c r="T28" s="15">
        <f t="shared" si="11"/>
        <v>3.108435770986631</v>
      </c>
      <c r="U28" s="15">
        <f t="shared" si="11"/>
        <v>3.1706044864063636</v>
      </c>
      <c r="V28" s="15">
        <f t="shared" si="11"/>
        <v>3.2340165761344908</v>
      </c>
      <c r="W28" s="15">
        <f t="shared" si="11"/>
        <v>3.2986969076571806</v>
      </c>
      <c r="X28" s="15">
        <f t="shared" si="11"/>
        <v>3.3646708458103243</v>
      </c>
      <c r="Y28" s="15">
        <f t="shared" si="11"/>
        <v>3.431964262726531</v>
      </c>
      <c r="Z28" s="15">
        <f t="shared" si="11"/>
        <v>3.5006035479810618</v>
      </c>
      <c r="AA28" s="15">
        <f t="shared" si="11"/>
        <v>3.5706156189406832</v>
      </c>
      <c r="AB28" s="15">
        <f t="shared" si="11"/>
        <v>3.6420279313194968</v>
      </c>
      <c r="AC28" s="15">
        <f t="shared" si="11"/>
        <v>3.7148684899458866</v>
      </c>
      <c r="AD28" s="15">
        <f t="shared" si="11"/>
        <v>3.7891658597448044</v>
      </c>
      <c r="AE28" s="15">
        <f t="shared" si="11"/>
        <v>3.8649491769397004</v>
      </c>
      <c r="AF28" s="15">
        <f t="shared" si="11"/>
        <v>3.9422481604784947</v>
      </c>
      <c r="AG28" s="15">
        <f t="shared" si="11"/>
        <v>4.0210931236880647</v>
      </c>
      <c r="AH28" s="16">
        <f t="shared" si="11"/>
        <v>4.1015149861618259</v>
      </c>
    </row>
    <row r="29" spans="1:35" x14ac:dyDescent="0.25">
      <c r="H29" t="s">
        <v>25</v>
      </c>
      <c r="I29" s="1">
        <f>+I27*8.34</f>
        <v>1.55958</v>
      </c>
      <c r="J29" s="1">
        <f>I29*(1+J13/100)</f>
        <v>1.5907716000000001</v>
      </c>
      <c r="K29" s="1">
        <f>+J29*(1+K13/100)</f>
        <v>1.622587032</v>
      </c>
      <c r="L29" s="1">
        <f t="shared" ref="L29:AC29" si="12">+K29*(1+L13/100)</f>
        <v>1.65503877264</v>
      </c>
      <c r="M29" s="1">
        <f t="shared" si="12"/>
        <v>1.6881395480928001</v>
      </c>
      <c r="N29" s="1">
        <f t="shared" si="12"/>
        <v>1.7219023390546562</v>
      </c>
      <c r="O29" s="1">
        <f t="shared" si="12"/>
        <v>1.7563403858357494</v>
      </c>
      <c r="P29" s="1">
        <f t="shared" si="12"/>
        <v>1.7914671935524644</v>
      </c>
      <c r="Q29" s="1">
        <f t="shared" si="12"/>
        <v>1.8272965374235137</v>
      </c>
      <c r="R29" s="1">
        <f t="shared" si="12"/>
        <v>1.8638424681719841</v>
      </c>
      <c r="S29" s="1">
        <f t="shared" si="12"/>
        <v>1.9011193175354237</v>
      </c>
      <c r="T29" s="1">
        <f t="shared" si="12"/>
        <v>1.9391417038861323</v>
      </c>
      <c r="U29" s="1">
        <f t="shared" si="12"/>
        <v>1.977924537963855</v>
      </c>
      <c r="V29" s="1">
        <f t="shared" si="12"/>
        <v>2.0174830287231322</v>
      </c>
      <c r="W29" s="1">
        <f t="shared" si="12"/>
        <v>2.0578326892975949</v>
      </c>
      <c r="X29" s="1">
        <f t="shared" si="12"/>
        <v>2.0989893430835469</v>
      </c>
      <c r="Y29" s="1">
        <f t="shared" si="12"/>
        <v>2.1409691299452178</v>
      </c>
      <c r="Z29" s="1">
        <f t="shared" si="12"/>
        <v>2.1837885125441221</v>
      </c>
      <c r="AA29" s="1">
        <f t="shared" si="12"/>
        <v>2.2274642827950046</v>
      </c>
      <c r="AB29" s="1">
        <f t="shared" si="12"/>
        <v>2.2720135684509049</v>
      </c>
      <c r="AC29" s="1">
        <f t="shared" si="12"/>
        <v>2.3174538398199229</v>
      </c>
      <c r="AD29">
        <v>0</v>
      </c>
      <c r="AE29">
        <v>0</v>
      </c>
      <c r="AF29">
        <v>0</v>
      </c>
      <c r="AG29">
        <v>0</v>
      </c>
      <c r="AH29">
        <v>0</v>
      </c>
    </row>
    <row r="32" spans="1:35" ht="15.75" x14ac:dyDescent="0.25">
      <c r="A32" t="s">
        <v>89</v>
      </c>
      <c r="H32" t="s">
        <v>6</v>
      </c>
      <c r="I32" s="24">
        <v>1.45</v>
      </c>
      <c r="J32" s="17">
        <f>I32*(1+J12/100)</f>
        <v>1.4789999999999999</v>
      </c>
      <c r="K32" s="15">
        <f t="shared" ref="K32:AH32" si="13">J32*(1+K12/100)</f>
        <v>1.5085799999999998</v>
      </c>
      <c r="L32" s="15">
        <f t="shared" si="13"/>
        <v>1.5387515999999999</v>
      </c>
      <c r="M32" s="15">
        <f t="shared" si="13"/>
        <v>1.5695266319999999</v>
      </c>
      <c r="N32" s="15">
        <f t="shared" si="13"/>
        <v>1.60091716464</v>
      </c>
      <c r="O32" s="15">
        <f t="shared" si="13"/>
        <v>1.6329355079328001</v>
      </c>
      <c r="P32" s="15">
        <f t="shared" si="13"/>
        <v>1.665594218091456</v>
      </c>
      <c r="Q32" s="15">
        <f t="shared" si="13"/>
        <v>1.6989061024532852</v>
      </c>
      <c r="R32" s="15">
        <f t="shared" si="13"/>
        <v>1.732884224502351</v>
      </c>
      <c r="S32" s="15">
        <f t="shared" si="13"/>
        <v>1.767541908992398</v>
      </c>
      <c r="T32" s="15">
        <f t="shared" si="13"/>
        <v>1.802892747172246</v>
      </c>
      <c r="U32" s="15">
        <f t="shared" si="13"/>
        <v>1.8389506021156909</v>
      </c>
      <c r="V32" s="15">
        <f t="shared" si="13"/>
        <v>1.8757296141580049</v>
      </c>
      <c r="W32" s="15">
        <f t="shared" si="13"/>
        <v>1.913244206441165</v>
      </c>
      <c r="X32" s="15">
        <f t="shared" si="13"/>
        <v>1.9515090905699883</v>
      </c>
      <c r="Y32" s="15">
        <f t="shared" si="13"/>
        <v>1.9905392723813882</v>
      </c>
      <c r="Z32" s="15">
        <f t="shared" si="13"/>
        <v>2.0303500578290161</v>
      </c>
      <c r="AA32" s="15">
        <f t="shared" si="13"/>
        <v>2.0709570589855963</v>
      </c>
      <c r="AB32" s="15">
        <f t="shared" si="13"/>
        <v>2.1123762001653081</v>
      </c>
      <c r="AC32" s="15">
        <f t="shared" si="13"/>
        <v>2.1546237241686144</v>
      </c>
      <c r="AD32" s="15">
        <f t="shared" si="13"/>
        <v>2.1977161986519866</v>
      </c>
      <c r="AE32" s="15">
        <f t="shared" si="13"/>
        <v>2.2416705226250264</v>
      </c>
      <c r="AF32" s="15">
        <f t="shared" si="13"/>
        <v>2.286503933077527</v>
      </c>
      <c r="AG32" s="15">
        <f t="shared" si="13"/>
        <v>2.3322340117390774</v>
      </c>
      <c r="AH32" s="16">
        <f t="shared" si="13"/>
        <v>2.3788786919738589</v>
      </c>
    </row>
    <row r="33" spans="1:34" x14ac:dyDescent="0.25">
      <c r="H33" t="s">
        <v>7</v>
      </c>
      <c r="I33">
        <v>0.28199999999999997</v>
      </c>
      <c r="J33" s="1">
        <f>I33*(1+J13/100)</f>
        <v>0.28763999999999995</v>
      </c>
      <c r="K33" s="1">
        <f>+J33*(1+K13/100)</f>
        <v>0.29339279999999995</v>
      </c>
      <c r="L33" s="1">
        <f t="shared" ref="L33:AC33" si="14">+K33*(1+L13/100)</f>
        <v>0.29926065599999996</v>
      </c>
      <c r="M33" s="1">
        <f t="shared" si="14"/>
        <v>0.30524586911999996</v>
      </c>
      <c r="N33" s="1">
        <f t="shared" si="14"/>
        <v>0.31135078650239995</v>
      </c>
      <c r="O33" s="1">
        <f t="shared" si="14"/>
        <v>0.31757780223244797</v>
      </c>
      <c r="P33" s="1">
        <f t="shared" si="14"/>
        <v>0.32392935827709696</v>
      </c>
      <c r="Q33" s="1">
        <f t="shared" si="14"/>
        <v>0.33040794544263891</v>
      </c>
      <c r="R33" s="1">
        <f t="shared" si="14"/>
        <v>0.33701610435149171</v>
      </c>
      <c r="S33" s="1">
        <f t="shared" si="14"/>
        <v>0.34375642643852156</v>
      </c>
      <c r="T33" s="1">
        <f t="shared" si="14"/>
        <v>0.35063155496729198</v>
      </c>
      <c r="U33" s="1">
        <f t="shared" si="14"/>
        <v>0.35764418606663784</v>
      </c>
      <c r="V33" s="1">
        <f t="shared" si="14"/>
        <v>0.36479706978797061</v>
      </c>
      <c r="W33" s="1">
        <f t="shared" si="14"/>
        <v>0.37209301118373</v>
      </c>
      <c r="X33" s="1">
        <f t="shared" si="14"/>
        <v>0.37953487140740461</v>
      </c>
      <c r="Y33" s="1">
        <f t="shared" si="14"/>
        <v>0.38712556883555271</v>
      </c>
      <c r="Z33" s="1">
        <f t="shared" si="14"/>
        <v>0.39486808021226377</v>
      </c>
      <c r="AA33" s="1">
        <f t="shared" si="14"/>
        <v>0.40276544181650903</v>
      </c>
      <c r="AB33" s="1">
        <f t="shared" si="14"/>
        <v>0.41082075065283924</v>
      </c>
      <c r="AC33" s="1">
        <f t="shared" si="14"/>
        <v>0.41903716566589605</v>
      </c>
      <c r="AD33">
        <v>0</v>
      </c>
      <c r="AE33">
        <v>0</v>
      </c>
      <c r="AF33">
        <v>0</v>
      </c>
      <c r="AG33">
        <v>0</v>
      </c>
      <c r="AH33">
        <v>0</v>
      </c>
    </row>
    <row r="34" spans="1:34" ht="15.75" x14ac:dyDescent="0.25">
      <c r="H34" t="s">
        <v>5</v>
      </c>
      <c r="I34" s="24">
        <v>12.09</v>
      </c>
      <c r="J34" s="17">
        <f>I34*(1+J12/100)</f>
        <v>12.331799999999999</v>
      </c>
      <c r="K34" s="15">
        <f t="shared" ref="K34:AH34" si="15">J34*(1+K12/100)</f>
        <v>12.578436</v>
      </c>
      <c r="L34" s="15">
        <f t="shared" si="15"/>
        <v>12.83000472</v>
      </c>
      <c r="M34" s="15">
        <f t="shared" si="15"/>
        <v>13.086604814399999</v>
      </c>
      <c r="N34" s="15">
        <f t="shared" si="15"/>
        <v>13.348336910687999</v>
      </c>
      <c r="O34" s="15">
        <f t="shared" si="15"/>
        <v>13.61530364890176</v>
      </c>
      <c r="P34" s="15">
        <f t="shared" si="15"/>
        <v>13.887609721879794</v>
      </c>
      <c r="Q34" s="15">
        <f t="shared" si="15"/>
        <v>14.165361916317391</v>
      </c>
      <c r="R34" s="15">
        <f t="shared" si="15"/>
        <v>14.448669154643738</v>
      </c>
      <c r="S34" s="15">
        <f t="shared" si="15"/>
        <v>14.737642537736614</v>
      </c>
      <c r="T34" s="15">
        <f t="shared" si="15"/>
        <v>15.032395388491347</v>
      </c>
      <c r="U34" s="15">
        <f t="shared" si="15"/>
        <v>15.333043296261174</v>
      </c>
      <c r="V34" s="15">
        <f t="shared" si="15"/>
        <v>15.639704162186398</v>
      </c>
      <c r="W34" s="15">
        <f t="shared" si="15"/>
        <v>15.952498245430126</v>
      </c>
      <c r="X34" s="15">
        <f t="shared" si="15"/>
        <v>16.271548210338729</v>
      </c>
      <c r="Y34" s="15">
        <f t="shared" si="15"/>
        <v>16.596979174545503</v>
      </c>
      <c r="Z34" s="15">
        <f t="shared" si="15"/>
        <v>16.928918758036414</v>
      </c>
      <c r="AA34" s="15">
        <f t="shared" si="15"/>
        <v>17.267497133197143</v>
      </c>
      <c r="AB34" s="15">
        <f t="shared" si="15"/>
        <v>17.612847075861087</v>
      </c>
      <c r="AC34" s="15">
        <f t="shared" si="15"/>
        <v>17.965104017378309</v>
      </c>
      <c r="AD34" s="15">
        <f t="shared" si="15"/>
        <v>18.324406097725877</v>
      </c>
      <c r="AE34" s="15">
        <f t="shared" si="15"/>
        <v>18.690894219680395</v>
      </c>
      <c r="AF34" s="15">
        <f t="shared" si="15"/>
        <v>19.064712104074005</v>
      </c>
      <c r="AG34" s="15">
        <f t="shared" si="15"/>
        <v>19.446006346155485</v>
      </c>
      <c r="AH34" s="16">
        <f t="shared" si="15"/>
        <v>19.834926473078596</v>
      </c>
    </row>
    <row r="35" spans="1:34" x14ac:dyDescent="0.25">
      <c r="H35" t="s">
        <v>25</v>
      </c>
      <c r="I35" s="1">
        <f>+I33*8.34</f>
        <v>2.3518799999999995</v>
      </c>
      <c r="J35" s="1">
        <f>I35*(1+J13/100)</f>
        <v>2.3989175999999994</v>
      </c>
      <c r="K35" s="1">
        <f>+J35*(1+K13/100)</f>
        <v>2.4468959519999993</v>
      </c>
      <c r="L35" s="1">
        <f t="shared" ref="L35:AC35" si="16">+K35*(1+L13/100)</f>
        <v>2.4958338710399994</v>
      </c>
      <c r="M35" s="1">
        <f t="shared" si="16"/>
        <v>2.5457505484607994</v>
      </c>
      <c r="N35" s="1">
        <f t="shared" si="16"/>
        <v>2.5966655594300154</v>
      </c>
      <c r="O35" s="1">
        <f t="shared" si="16"/>
        <v>2.6485988706186157</v>
      </c>
      <c r="P35" s="1">
        <f t="shared" si="16"/>
        <v>2.7015708480309879</v>
      </c>
      <c r="Q35" s="1">
        <f t="shared" si="16"/>
        <v>2.7556022649916079</v>
      </c>
      <c r="R35" s="1">
        <f t="shared" si="16"/>
        <v>2.81071431029144</v>
      </c>
      <c r="S35" s="1">
        <f t="shared" si="16"/>
        <v>2.8669285964972691</v>
      </c>
      <c r="T35" s="1">
        <f t="shared" si="16"/>
        <v>2.9242671684272143</v>
      </c>
      <c r="U35" s="1">
        <f t="shared" si="16"/>
        <v>2.9827525117957587</v>
      </c>
      <c r="V35" s="1">
        <f t="shared" si="16"/>
        <v>3.042407562031674</v>
      </c>
      <c r="W35" s="1">
        <f t="shared" si="16"/>
        <v>3.1032557132723073</v>
      </c>
      <c r="X35" s="1">
        <f t="shared" si="16"/>
        <v>3.1653208275377533</v>
      </c>
      <c r="Y35" s="1">
        <f t="shared" si="16"/>
        <v>3.2286272440885084</v>
      </c>
      <c r="Z35" s="1">
        <f t="shared" si="16"/>
        <v>3.2931997889702789</v>
      </c>
      <c r="AA35" s="1">
        <f t="shared" si="16"/>
        <v>3.3590637847496847</v>
      </c>
      <c r="AB35" s="1">
        <f t="shared" si="16"/>
        <v>3.4262450604446784</v>
      </c>
      <c r="AC35" s="1">
        <f t="shared" si="16"/>
        <v>3.4947699616535721</v>
      </c>
      <c r="AD35">
        <v>0</v>
      </c>
      <c r="AE35">
        <v>0</v>
      </c>
      <c r="AF35">
        <v>0</v>
      </c>
      <c r="AG35">
        <v>0</v>
      </c>
      <c r="AH35">
        <v>0</v>
      </c>
    </row>
    <row r="38" spans="1:34" s="25" customFormat="1" x14ac:dyDescent="0.25">
      <c r="A38" s="25" t="s">
        <v>99</v>
      </c>
      <c r="H38" s="25" t="s">
        <v>6</v>
      </c>
      <c r="I38" s="52">
        <f>+I16+I21+I26+I32</f>
        <v>2.29</v>
      </c>
      <c r="J38" s="53">
        <f t="shared" ref="J38:AH39" si="17">+J16+J21+J26+J32</f>
        <v>2.3357999999999999</v>
      </c>
      <c r="K38" s="53">
        <f t="shared" si="17"/>
        <v>2.3825159999999999</v>
      </c>
      <c r="L38" s="53">
        <f t="shared" si="17"/>
        <v>2.4301663199999997</v>
      </c>
      <c r="M38" s="53">
        <f t="shared" si="17"/>
        <v>2.4787696464</v>
      </c>
      <c r="N38" s="53">
        <f t="shared" si="17"/>
        <v>2.5283450393280003</v>
      </c>
      <c r="O38" s="53">
        <f t="shared" si="17"/>
        <v>2.5789119401145602</v>
      </c>
      <c r="P38" s="53">
        <f t="shared" si="17"/>
        <v>2.6304901789168511</v>
      </c>
      <c r="Q38" s="53">
        <f t="shared" si="17"/>
        <v>2.6830999824951887</v>
      </c>
      <c r="R38" s="53">
        <f t="shared" si="17"/>
        <v>2.7367619821450919</v>
      </c>
      <c r="S38" s="53">
        <f t="shared" si="17"/>
        <v>2.7914972217879939</v>
      </c>
      <c r="T38" s="53">
        <f t="shared" si="17"/>
        <v>2.8473271662237538</v>
      </c>
      <c r="U38" s="53">
        <f t="shared" si="17"/>
        <v>2.9042737095482289</v>
      </c>
      <c r="V38" s="53">
        <f t="shared" si="17"/>
        <v>2.9623591837391938</v>
      </c>
      <c r="W38" s="53">
        <f t="shared" si="17"/>
        <v>3.0216063674139777</v>
      </c>
      <c r="X38" s="53">
        <f t="shared" si="17"/>
        <v>3.0820384947622577</v>
      </c>
      <c r="Y38" s="53">
        <f t="shared" si="17"/>
        <v>3.1436792646575027</v>
      </c>
      <c r="Z38" s="53">
        <f t="shared" si="17"/>
        <v>3.2065528499506528</v>
      </c>
      <c r="AA38" s="53">
        <f t="shared" si="17"/>
        <v>3.2706839069496656</v>
      </c>
      <c r="AB38" s="53">
        <f t="shared" si="17"/>
        <v>3.3360975850886589</v>
      </c>
      <c r="AC38" s="53">
        <f t="shared" si="17"/>
        <v>3.4028195367904326</v>
      </c>
      <c r="AD38" s="53">
        <f t="shared" si="17"/>
        <v>3.4708759275262411</v>
      </c>
      <c r="AE38" s="53">
        <f t="shared" si="17"/>
        <v>3.5402934460767659</v>
      </c>
      <c r="AF38" s="53">
        <f t="shared" si="17"/>
        <v>3.6110993149983015</v>
      </c>
      <c r="AG38" s="53">
        <f t="shared" si="17"/>
        <v>3.6833213012982675</v>
      </c>
      <c r="AH38" s="54">
        <f t="shared" si="17"/>
        <v>3.7569877273242325</v>
      </c>
    </row>
    <row r="39" spans="1:34" x14ac:dyDescent="0.25">
      <c r="H39" s="29" t="s">
        <v>7</v>
      </c>
      <c r="I39" s="49">
        <f>+I17+I22+I27+I33</f>
        <v>0.8660000000000001</v>
      </c>
      <c r="J39" s="49">
        <f>+J17+J22+J27+J33</f>
        <v>0.88331999999999988</v>
      </c>
      <c r="K39" s="49">
        <f t="shared" si="17"/>
        <v>0.90098640000000008</v>
      </c>
      <c r="L39" s="49">
        <f t="shared" si="17"/>
        <v>0.91900612799999992</v>
      </c>
      <c r="M39" s="49">
        <f t="shared" si="17"/>
        <v>0.93738625056000002</v>
      </c>
      <c r="N39" s="49">
        <f t="shared" si="17"/>
        <v>0.95613397557119995</v>
      </c>
      <c r="O39" s="49">
        <f t="shared" si="17"/>
        <v>0.97525665508262405</v>
      </c>
      <c r="P39" s="49">
        <f t="shared" si="17"/>
        <v>0.99476178818427652</v>
      </c>
      <c r="Q39" s="49">
        <f t="shared" si="17"/>
        <v>1.0146570239479622</v>
      </c>
      <c r="R39" s="49">
        <f t="shared" si="17"/>
        <v>1.0349501644269214</v>
      </c>
      <c r="S39" s="49">
        <f t="shared" si="17"/>
        <v>1.05564916771546</v>
      </c>
      <c r="T39" s="49">
        <f t="shared" si="17"/>
        <v>1.0767621510697691</v>
      </c>
      <c r="U39" s="49">
        <f t="shared" si="17"/>
        <v>1.0982973940911647</v>
      </c>
      <c r="V39" s="49">
        <f t="shared" si="17"/>
        <v>1.1202633419729879</v>
      </c>
      <c r="W39" s="49">
        <f t="shared" si="17"/>
        <v>1.1426686088124476</v>
      </c>
      <c r="X39" s="49">
        <f t="shared" si="17"/>
        <v>1.1655219809886965</v>
      </c>
      <c r="Y39" s="49">
        <f t="shared" si="17"/>
        <v>1.1888324206084704</v>
      </c>
      <c r="Z39" s="49">
        <f t="shared" si="17"/>
        <v>1.2126090690206399</v>
      </c>
      <c r="AA39" s="49">
        <f t="shared" si="17"/>
        <v>1.2368612504010525</v>
      </c>
      <c r="AB39" s="49">
        <f t="shared" si="17"/>
        <v>1.2615984754090737</v>
      </c>
      <c r="AC39" s="49">
        <f t="shared" si="17"/>
        <v>1.2868304449172552</v>
      </c>
      <c r="AD39" s="49">
        <f t="shared" si="17"/>
        <v>0</v>
      </c>
      <c r="AE39" s="49">
        <f t="shared" si="17"/>
        <v>0</v>
      </c>
      <c r="AF39" s="49">
        <f t="shared" si="17"/>
        <v>0</v>
      </c>
      <c r="AG39" s="49">
        <f t="shared" si="17"/>
        <v>0</v>
      </c>
      <c r="AH39" s="49">
        <f t="shared" si="17"/>
        <v>0</v>
      </c>
    </row>
    <row r="40" spans="1:34" s="25" customFormat="1" x14ac:dyDescent="0.25">
      <c r="H40" s="25" t="s">
        <v>5</v>
      </c>
      <c r="I40" s="55">
        <f>+I18+I23+I28+I34</f>
        <v>19.09</v>
      </c>
      <c r="J40" s="56">
        <f t="shared" ref="J40:AH40" si="18">+J18+J23+J28+J34</f>
        <v>19.471799999999998</v>
      </c>
      <c r="K40" s="56">
        <f t="shared" si="18"/>
        <v>19.861235999999998</v>
      </c>
      <c r="L40" s="56">
        <f t="shared" si="18"/>
        <v>20.258460720000002</v>
      </c>
      <c r="M40" s="56">
        <f t="shared" si="18"/>
        <v>20.663629934399999</v>
      </c>
      <c r="N40" s="56">
        <f t="shared" si="18"/>
        <v>21.076902533087999</v>
      </c>
      <c r="O40" s="56">
        <f t="shared" si="18"/>
        <v>21.498440583749762</v>
      </c>
      <c r="P40" s="56">
        <f t="shared" si="18"/>
        <v>21.928409395424755</v>
      </c>
      <c r="Q40" s="56">
        <f t="shared" si="18"/>
        <v>22.366977583333252</v>
      </c>
      <c r="R40" s="56">
        <f t="shared" si="18"/>
        <v>22.814317134999918</v>
      </c>
      <c r="S40" s="56">
        <f t="shared" si="18"/>
        <v>23.270603477699915</v>
      </c>
      <c r="T40" s="56">
        <f t="shared" si="18"/>
        <v>23.736015547253913</v>
      </c>
      <c r="U40" s="56">
        <f t="shared" si="18"/>
        <v>24.210735858198994</v>
      </c>
      <c r="V40" s="56">
        <f t="shared" si="18"/>
        <v>24.694950575362974</v>
      </c>
      <c r="W40" s="56">
        <f t="shared" si="18"/>
        <v>25.188849586870234</v>
      </c>
      <c r="X40" s="56">
        <f t="shared" si="18"/>
        <v>25.692626578607637</v>
      </c>
      <c r="Y40" s="56">
        <f t="shared" si="18"/>
        <v>26.206479110179789</v>
      </c>
      <c r="Z40" s="56">
        <f t="shared" si="18"/>
        <v>26.730608692383385</v>
      </c>
      <c r="AA40" s="56">
        <f t="shared" si="18"/>
        <v>27.265220866231054</v>
      </c>
      <c r="AB40" s="56">
        <f t="shared" si="18"/>
        <v>27.810525283555677</v>
      </c>
      <c r="AC40" s="56">
        <f t="shared" si="18"/>
        <v>28.366735789226791</v>
      </c>
      <c r="AD40" s="56">
        <f t="shared" si="18"/>
        <v>28.934070505011327</v>
      </c>
      <c r="AE40" s="56">
        <f t="shared" si="18"/>
        <v>29.512751915111558</v>
      </c>
      <c r="AF40" s="56">
        <f t="shared" si="18"/>
        <v>30.103006953413789</v>
      </c>
      <c r="AG40" s="56">
        <f t="shared" si="18"/>
        <v>30.705067092482068</v>
      </c>
      <c r="AH40" s="57">
        <f t="shared" si="18"/>
        <v>31.319168434331708</v>
      </c>
    </row>
    <row r="41" spans="1:34" x14ac:dyDescent="0.25">
      <c r="H41" s="29" t="s">
        <v>25</v>
      </c>
      <c r="I41" s="50">
        <f>+I19+I24+I29+I35</f>
        <v>7.2224399999999989</v>
      </c>
      <c r="J41" s="50">
        <f>+J39*8.34</f>
        <v>7.366888799999999</v>
      </c>
      <c r="K41" s="50">
        <f t="shared" ref="K41:AH41" si="19">+K39*8.34</f>
        <v>7.5142265760000004</v>
      </c>
      <c r="L41" s="50">
        <f t="shared" si="19"/>
        <v>7.6645111075199992</v>
      </c>
      <c r="M41" s="50">
        <f t="shared" si="19"/>
        <v>7.8178013296703996</v>
      </c>
      <c r="N41" s="50">
        <f t="shared" si="19"/>
        <v>7.9741573562638077</v>
      </c>
      <c r="O41" s="50">
        <f t="shared" si="19"/>
        <v>8.1336405033890848</v>
      </c>
      <c r="P41" s="50">
        <f t="shared" si="19"/>
        <v>8.2963133134568654</v>
      </c>
      <c r="Q41" s="50">
        <f t="shared" si="19"/>
        <v>8.4622395797260044</v>
      </c>
      <c r="R41" s="50">
        <f t="shared" si="19"/>
        <v>8.6314843713205249</v>
      </c>
      <c r="S41" s="50">
        <f t="shared" si="19"/>
        <v>8.8041140587469364</v>
      </c>
      <c r="T41" s="50">
        <f t="shared" si="19"/>
        <v>8.9801963399218749</v>
      </c>
      <c r="U41" s="50">
        <f t="shared" si="19"/>
        <v>9.159800266720314</v>
      </c>
      <c r="V41" s="50">
        <f t="shared" si="19"/>
        <v>9.3429962720547195</v>
      </c>
      <c r="W41" s="50">
        <f t="shared" si="19"/>
        <v>9.5298561974958123</v>
      </c>
      <c r="X41" s="50">
        <f t="shared" si="19"/>
        <v>9.7204533214457296</v>
      </c>
      <c r="Y41" s="50">
        <f t="shared" si="19"/>
        <v>9.914862387874642</v>
      </c>
      <c r="Z41" s="50">
        <f t="shared" si="19"/>
        <v>10.113159635632137</v>
      </c>
      <c r="AA41" s="50">
        <f t="shared" si="19"/>
        <v>10.315422828344778</v>
      </c>
      <c r="AB41" s="50">
        <f t="shared" si="19"/>
        <v>10.521731284911674</v>
      </c>
      <c r="AC41" s="50">
        <f t="shared" si="19"/>
        <v>10.732165910609908</v>
      </c>
      <c r="AD41" s="50">
        <v>0</v>
      </c>
      <c r="AE41" s="50">
        <f t="shared" si="19"/>
        <v>0</v>
      </c>
      <c r="AF41" s="50">
        <f t="shared" si="19"/>
        <v>0</v>
      </c>
      <c r="AG41" s="50">
        <f t="shared" si="19"/>
        <v>0</v>
      </c>
      <c r="AH41" s="50">
        <f t="shared" si="19"/>
        <v>0</v>
      </c>
    </row>
    <row r="42" spans="1:34" x14ac:dyDescent="0.25">
      <c r="A42" s="26" t="s">
        <v>28</v>
      </c>
    </row>
    <row r="44" spans="1:34" ht="15.75" x14ac:dyDescent="0.25">
      <c r="A44" t="s">
        <v>41</v>
      </c>
      <c r="H44" t="s">
        <v>6</v>
      </c>
      <c r="I44" s="24">
        <v>3.26</v>
      </c>
      <c r="J44" s="17">
        <f>I44*(1+J12/100)</f>
        <v>3.3251999999999997</v>
      </c>
      <c r="K44" s="15">
        <f t="shared" ref="K44:AH44" si="20">J44*(1+K12/100)</f>
        <v>3.3917039999999998</v>
      </c>
      <c r="L44" s="15">
        <f t="shared" si="20"/>
        <v>3.4595380799999997</v>
      </c>
      <c r="M44" s="15">
        <f t="shared" si="20"/>
        <v>3.5287288416</v>
      </c>
      <c r="N44" s="15">
        <f t="shared" si="20"/>
        <v>3.5993034184320001</v>
      </c>
      <c r="O44" s="15">
        <f t="shared" si="20"/>
        <v>3.67128948680064</v>
      </c>
      <c r="P44" s="15">
        <f t="shared" si="20"/>
        <v>3.7447152765366529</v>
      </c>
      <c r="Q44" s="15">
        <f t="shared" si="20"/>
        <v>3.8196095820673861</v>
      </c>
      <c r="R44" s="15">
        <f t="shared" si="20"/>
        <v>3.896001773708734</v>
      </c>
      <c r="S44" s="15">
        <f t="shared" si="20"/>
        <v>3.9739218091829089</v>
      </c>
      <c r="T44" s="15">
        <f t="shared" si="20"/>
        <v>4.053400245366567</v>
      </c>
      <c r="U44" s="15">
        <f t="shared" si="20"/>
        <v>4.1344682502738985</v>
      </c>
      <c r="V44" s="15">
        <f t="shared" si="20"/>
        <v>4.2171576152793762</v>
      </c>
      <c r="W44" s="15">
        <f t="shared" si="20"/>
        <v>4.3015007675849635</v>
      </c>
      <c r="X44" s="15">
        <f t="shared" si="20"/>
        <v>4.387530782936663</v>
      </c>
      <c r="Y44" s="15">
        <f t="shared" si="20"/>
        <v>4.4752813985953965</v>
      </c>
      <c r="Z44" s="15">
        <f t="shared" si="20"/>
        <v>4.5647870265673047</v>
      </c>
      <c r="AA44" s="15">
        <f t="shared" si="20"/>
        <v>4.6560827670986509</v>
      </c>
      <c r="AB44" s="15">
        <f t="shared" si="20"/>
        <v>4.7492044224406236</v>
      </c>
      <c r="AC44" s="15">
        <f t="shared" si="20"/>
        <v>4.8441885108894365</v>
      </c>
      <c r="AD44" s="15">
        <f t="shared" si="20"/>
        <v>4.9410722811072256</v>
      </c>
      <c r="AE44" s="15">
        <f t="shared" si="20"/>
        <v>5.0398937267293702</v>
      </c>
      <c r="AF44" s="15">
        <f t="shared" si="20"/>
        <v>5.1406916012639581</v>
      </c>
      <c r="AG44" s="15">
        <f t="shared" si="20"/>
        <v>5.2435054332892372</v>
      </c>
      <c r="AH44" s="16">
        <f t="shared" si="20"/>
        <v>5.3483755419550221</v>
      </c>
    </row>
    <row r="45" spans="1:34" x14ac:dyDescent="0.25">
      <c r="H45" t="s">
        <v>7</v>
      </c>
      <c r="I45">
        <v>3.26</v>
      </c>
      <c r="J45" s="1">
        <f>I45*(1+J13/100)</f>
        <v>3.3251999999999997</v>
      </c>
      <c r="K45" s="1">
        <f>+J45*(1+K13/100)</f>
        <v>3.3917039999999998</v>
      </c>
      <c r="L45" s="1">
        <f t="shared" ref="L45:AC45" si="21">+K45*(1+L13/100)</f>
        <v>3.4595380799999997</v>
      </c>
      <c r="M45" s="1">
        <f t="shared" si="21"/>
        <v>3.5287288416</v>
      </c>
      <c r="N45" s="1">
        <f t="shared" si="21"/>
        <v>3.5993034184320001</v>
      </c>
      <c r="O45" s="1">
        <f t="shared" si="21"/>
        <v>3.67128948680064</v>
      </c>
      <c r="P45" s="1">
        <f t="shared" si="21"/>
        <v>3.7447152765366529</v>
      </c>
      <c r="Q45" s="1">
        <f t="shared" si="21"/>
        <v>3.8196095820673861</v>
      </c>
      <c r="R45" s="1">
        <f t="shared" si="21"/>
        <v>3.896001773708734</v>
      </c>
      <c r="S45" s="1">
        <f t="shared" si="21"/>
        <v>3.9739218091829089</v>
      </c>
      <c r="T45" s="1">
        <f t="shared" si="21"/>
        <v>4.053400245366567</v>
      </c>
      <c r="U45" s="1">
        <f t="shared" si="21"/>
        <v>4.1344682502738985</v>
      </c>
      <c r="V45" s="1">
        <f t="shared" si="21"/>
        <v>4.2171576152793762</v>
      </c>
      <c r="W45" s="1">
        <f t="shared" si="21"/>
        <v>4.3015007675849635</v>
      </c>
      <c r="X45" s="1">
        <f t="shared" si="21"/>
        <v>4.387530782936663</v>
      </c>
      <c r="Y45" s="1">
        <f t="shared" si="21"/>
        <v>4.4752813985953965</v>
      </c>
      <c r="Z45" s="1">
        <f t="shared" si="21"/>
        <v>4.5647870265673047</v>
      </c>
      <c r="AA45" s="1">
        <f t="shared" si="21"/>
        <v>4.6560827670986509</v>
      </c>
      <c r="AB45" s="1">
        <f t="shared" si="21"/>
        <v>4.7492044224406236</v>
      </c>
      <c r="AC45" s="1">
        <f t="shared" si="21"/>
        <v>4.8441885108894365</v>
      </c>
      <c r="AD45">
        <v>0</v>
      </c>
      <c r="AE45">
        <v>0</v>
      </c>
      <c r="AF45">
        <v>0</v>
      </c>
      <c r="AG45">
        <v>0</v>
      </c>
      <c r="AH45">
        <v>0</v>
      </c>
    </row>
    <row r="46" spans="1:34" ht="15.75" x14ac:dyDescent="0.25">
      <c r="H46" t="s">
        <v>5</v>
      </c>
      <c r="I46" s="24">
        <v>27.19</v>
      </c>
      <c r="J46" s="17">
        <f>I46*(1+J12/100)</f>
        <v>27.733800000000002</v>
      </c>
      <c r="K46" s="15">
        <f t="shared" ref="K46:AH46" si="22">J46*(1+K12/100)</f>
        <v>28.288476000000003</v>
      </c>
      <c r="L46" s="15">
        <f t="shared" si="22"/>
        <v>28.854245520000003</v>
      </c>
      <c r="M46" s="15">
        <f t="shared" si="22"/>
        <v>29.431330430400003</v>
      </c>
      <c r="N46" s="15">
        <f t="shared" si="22"/>
        <v>30.019957039008002</v>
      </c>
      <c r="O46" s="15">
        <f t="shared" si="22"/>
        <v>30.620356179788164</v>
      </c>
      <c r="P46" s="15">
        <f t="shared" si="22"/>
        <v>31.232763303383926</v>
      </c>
      <c r="Q46" s="15">
        <f t="shared" si="22"/>
        <v>31.857418569451607</v>
      </c>
      <c r="R46" s="15">
        <f t="shared" si="22"/>
        <v>32.494566940840642</v>
      </c>
      <c r="S46" s="15">
        <f t="shared" si="22"/>
        <v>33.144458279657457</v>
      </c>
      <c r="T46" s="15">
        <f t="shared" si="22"/>
        <v>33.807347445250606</v>
      </c>
      <c r="U46" s="15">
        <f t="shared" si="22"/>
        <v>34.48349439415562</v>
      </c>
      <c r="V46" s="15">
        <f t="shared" si="22"/>
        <v>35.173164282038734</v>
      </c>
      <c r="W46" s="15">
        <f t="shared" si="22"/>
        <v>35.876627567679506</v>
      </c>
      <c r="X46" s="15">
        <f t="shared" si="22"/>
        <v>36.594160119033099</v>
      </c>
      <c r="Y46" s="15">
        <f t="shared" si="22"/>
        <v>37.326043321413763</v>
      </c>
      <c r="Z46" s="15">
        <f t="shared" si="22"/>
        <v>38.07256418784204</v>
      </c>
      <c r="AA46" s="15">
        <f t="shared" si="22"/>
        <v>38.834015471598882</v>
      </c>
      <c r="AB46" s="15">
        <f t="shared" si="22"/>
        <v>39.610695781030863</v>
      </c>
      <c r="AC46" s="15">
        <f t="shared" si="22"/>
        <v>40.402909696651484</v>
      </c>
      <c r="AD46" s="15">
        <f t="shared" si="22"/>
        <v>41.210967890584513</v>
      </c>
      <c r="AE46" s="15">
        <f t="shared" si="22"/>
        <v>42.035187248396205</v>
      </c>
      <c r="AF46" s="15">
        <f t="shared" si="22"/>
        <v>42.875890993364131</v>
      </c>
      <c r="AG46" s="15">
        <f t="shared" si="22"/>
        <v>43.733408813231414</v>
      </c>
      <c r="AH46" s="16">
        <f t="shared" si="22"/>
        <v>44.608076989496041</v>
      </c>
    </row>
    <row r="47" spans="1:34" x14ac:dyDescent="0.25">
      <c r="H47" t="s">
        <v>25</v>
      </c>
      <c r="I47" s="1">
        <f>+I45*8.34</f>
        <v>27.188399999999998</v>
      </c>
      <c r="J47" s="1">
        <f>I47*(1+J13/100)</f>
        <v>27.732167999999998</v>
      </c>
      <c r="K47" s="1">
        <f>+J47*(1+K13/100)</f>
        <v>28.286811359999998</v>
      </c>
      <c r="L47" s="1">
        <f t="shared" ref="L47:AC47" si="23">+K47*(1+L13/100)</f>
        <v>28.8525475872</v>
      </c>
      <c r="M47" s="1">
        <f t="shared" si="23"/>
        <v>29.429598538943999</v>
      </c>
      <c r="N47" s="1">
        <f t="shared" si="23"/>
        <v>30.018190509722881</v>
      </c>
      <c r="O47" s="1">
        <f t="shared" si="23"/>
        <v>30.61855431991734</v>
      </c>
      <c r="P47" s="1">
        <f t="shared" si="23"/>
        <v>31.230925406315688</v>
      </c>
      <c r="Q47" s="1">
        <f t="shared" si="23"/>
        <v>31.855543914442002</v>
      </c>
      <c r="R47" s="1">
        <f t="shared" si="23"/>
        <v>32.492654792730839</v>
      </c>
      <c r="S47" s="1">
        <f t="shared" si="23"/>
        <v>33.142507888585456</v>
      </c>
      <c r="T47" s="1">
        <f t="shared" si="23"/>
        <v>33.805358046357163</v>
      </c>
      <c r="U47" s="1">
        <f t="shared" si="23"/>
        <v>34.481465207284309</v>
      </c>
      <c r="V47" s="1">
        <f t="shared" si="23"/>
        <v>35.171094511429999</v>
      </c>
      <c r="W47" s="1">
        <f t="shared" si="23"/>
        <v>35.874516401658596</v>
      </c>
      <c r="X47" s="1">
        <f t="shared" si="23"/>
        <v>36.592006729691768</v>
      </c>
      <c r="Y47" s="1">
        <f t="shared" si="23"/>
        <v>37.323846864285606</v>
      </c>
      <c r="Z47" s="1">
        <f t="shared" si="23"/>
        <v>38.07032380157132</v>
      </c>
      <c r="AA47" s="1">
        <f t="shared" si="23"/>
        <v>38.831730277602745</v>
      </c>
      <c r="AB47" s="1">
        <f t="shared" si="23"/>
        <v>39.608364883154799</v>
      </c>
      <c r="AC47" s="1">
        <f t="shared" si="23"/>
        <v>40.400532180817898</v>
      </c>
      <c r="AD47">
        <v>0</v>
      </c>
      <c r="AE47">
        <v>0</v>
      </c>
      <c r="AF47">
        <v>0</v>
      </c>
      <c r="AG47">
        <v>0</v>
      </c>
      <c r="AH47">
        <v>0</v>
      </c>
    </row>
    <row r="49" spans="1:34" ht="15.75" x14ac:dyDescent="0.25">
      <c r="A49" t="s">
        <v>93</v>
      </c>
      <c r="H49" t="s">
        <v>6</v>
      </c>
      <c r="I49" s="24">
        <v>0.52</v>
      </c>
      <c r="J49" s="17">
        <f>I49*(1+J12/100)</f>
        <v>0.53039999999999998</v>
      </c>
      <c r="K49" s="15">
        <f t="shared" ref="K49:AH49" si="24">J49*(1+K12/100)</f>
        <v>0.54100800000000004</v>
      </c>
      <c r="L49" s="15">
        <f t="shared" si="24"/>
        <v>0.55182816000000001</v>
      </c>
      <c r="M49" s="15">
        <f t="shared" si="24"/>
        <v>0.56286472320000003</v>
      </c>
      <c r="N49" s="15">
        <f t="shared" si="24"/>
        <v>0.57412201766400006</v>
      </c>
      <c r="O49" s="15">
        <f t="shared" si="24"/>
        <v>0.58560445801728012</v>
      </c>
      <c r="P49" s="15">
        <f t="shared" si="24"/>
        <v>0.59731654717762572</v>
      </c>
      <c r="Q49" s="15">
        <f t="shared" si="24"/>
        <v>0.6092628781211783</v>
      </c>
      <c r="R49" s="15">
        <f t="shared" si="24"/>
        <v>0.62144813568360191</v>
      </c>
      <c r="S49" s="15">
        <f t="shared" si="24"/>
        <v>0.63387709839727391</v>
      </c>
      <c r="T49" s="15">
        <f t="shared" si="24"/>
        <v>0.64655464036521937</v>
      </c>
      <c r="U49" s="15">
        <f t="shared" si="24"/>
        <v>0.65948573317252379</v>
      </c>
      <c r="V49" s="15">
        <f t="shared" si="24"/>
        <v>0.67267544783597433</v>
      </c>
      <c r="W49" s="15">
        <f t="shared" si="24"/>
        <v>0.68612895679269381</v>
      </c>
      <c r="X49" s="15">
        <f t="shared" si="24"/>
        <v>0.69985153592854765</v>
      </c>
      <c r="Y49" s="15">
        <f t="shared" si="24"/>
        <v>0.7138485666471186</v>
      </c>
      <c r="Z49" s="15">
        <f t="shared" si="24"/>
        <v>0.72812553798006097</v>
      </c>
      <c r="AA49" s="15">
        <f t="shared" si="24"/>
        <v>0.74268804873966221</v>
      </c>
      <c r="AB49" s="15">
        <f t="shared" si="24"/>
        <v>0.75754180971445551</v>
      </c>
      <c r="AC49" s="15">
        <f t="shared" si="24"/>
        <v>0.77269264590874465</v>
      </c>
      <c r="AD49" s="15">
        <f t="shared" si="24"/>
        <v>0.78814649882691956</v>
      </c>
      <c r="AE49" s="15">
        <f t="shared" si="24"/>
        <v>0.80390942880345795</v>
      </c>
      <c r="AF49" s="15">
        <f t="shared" si="24"/>
        <v>0.81998761737952708</v>
      </c>
      <c r="AG49" s="15">
        <f t="shared" si="24"/>
        <v>0.83638736972711758</v>
      </c>
      <c r="AH49" s="16">
        <f t="shared" si="24"/>
        <v>0.85311511712165999</v>
      </c>
    </row>
    <row r="50" spans="1:34" x14ac:dyDescent="0.25">
      <c r="H50" t="s">
        <v>7</v>
      </c>
      <c r="I50">
        <v>0.52</v>
      </c>
      <c r="J50" s="1">
        <f>I50*(1+J13/100)</f>
        <v>0.53039999999999998</v>
      </c>
      <c r="K50" s="1">
        <f>+J50*(1+K13/100)</f>
        <v>0.54100800000000004</v>
      </c>
      <c r="L50" s="1">
        <f t="shared" ref="L50:AC50" si="25">+K50*(1+L13/100)</f>
        <v>0.55182816000000001</v>
      </c>
      <c r="M50" s="1">
        <f t="shared" si="25"/>
        <v>0.56286472320000003</v>
      </c>
      <c r="N50" s="1">
        <f t="shared" si="25"/>
        <v>0.57412201766400006</v>
      </c>
      <c r="O50" s="1">
        <f t="shared" si="25"/>
        <v>0.58560445801728012</v>
      </c>
      <c r="P50" s="1">
        <f t="shared" si="25"/>
        <v>0.59731654717762572</v>
      </c>
      <c r="Q50" s="1">
        <f t="shared" si="25"/>
        <v>0.6092628781211783</v>
      </c>
      <c r="R50" s="1">
        <f t="shared" si="25"/>
        <v>0.62144813568360191</v>
      </c>
      <c r="S50" s="1">
        <f t="shared" si="25"/>
        <v>0.63387709839727391</v>
      </c>
      <c r="T50" s="1">
        <f t="shared" si="25"/>
        <v>0.64655464036521937</v>
      </c>
      <c r="U50" s="1">
        <f t="shared" si="25"/>
        <v>0.65948573317252379</v>
      </c>
      <c r="V50" s="1">
        <f t="shared" si="25"/>
        <v>0.67267544783597433</v>
      </c>
      <c r="W50" s="1">
        <f t="shared" si="25"/>
        <v>0.68612895679269381</v>
      </c>
      <c r="X50" s="1">
        <f t="shared" si="25"/>
        <v>0.69985153592854765</v>
      </c>
      <c r="Y50" s="1">
        <f t="shared" si="25"/>
        <v>0.7138485666471186</v>
      </c>
      <c r="Z50" s="1">
        <f t="shared" si="25"/>
        <v>0.72812553798006097</v>
      </c>
      <c r="AA50" s="1">
        <f t="shared" si="25"/>
        <v>0.74268804873966221</v>
      </c>
      <c r="AB50" s="1">
        <f t="shared" si="25"/>
        <v>0.75754180971445551</v>
      </c>
      <c r="AC50" s="1">
        <f t="shared" si="25"/>
        <v>0.77269264590874465</v>
      </c>
      <c r="AD50">
        <v>0</v>
      </c>
      <c r="AE50">
        <v>0</v>
      </c>
      <c r="AF50">
        <v>0</v>
      </c>
      <c r="AG50">
        <v>0</v>
      </c>
      <c r="AH50">
        <v>0</v>
      </c>
    </row>
    <row r="51" spans="1:34" ht="15.75" x14ac:dyDescent="0.25">
      <c r="H51" t="s">
        <v>5</v>
      </c>
      <c r="I51" s="24">
        <v>4.34</v>
      </c>
      <c r="J51" s="17">
        <f>I51*(1+J12/100)</f>
        <v>4.4268000000000001</v>
      </c>
      <c r="K51" s="15">
        <f t="shared" ref="K51:AH51" si="26">J51*(1+K12/100)</f>
        <v>4.5153360000000005</v>
      </c>
      <c r="L51" s="15">
        <f t="shared" si="26"/>
        <v>4.6056427200000005</v>
      </c>
      <c r="M51" s="15">
        <f t="shared" si="26"/>
        <v>4.6977555744000004</v>
      </c>
      <c r="N51" s="15">
        <f t="shared" si="26"/>
        <v>4.7917106858880008</v>
      </c>
      <c r="O51" s="15">
        <f t="shared" si="26"/>
        <v>4.8875448996057607</v>
      </c>
      <c r="P51" s="15">
        <f t="shared" si="26"/>
        <v>4.9852957975978756</v>
      </c>
      <c r="Q51" s="15">
        <f t="shared" si="26"/>
        <v>5.0850017135498335</v>
      </c>
      <c r="R51" s="15">
        <f t="shared" si="26"/>
        <v>5.1867017478208304</v>
      </c>
      <c r="S51" s="15">
        <f t="shared" si="26"/>
        <v>5.290435782777247</v>
      </c>
      <c r="T51" s="15">
        <f t="shared" si="26"/>
        <v>5.3962444984327922</v>
      </c>
      <c r="U51" s="15">
        <f t="shared" si="26"/>
        <v>5.504169388401448</v>
      </c>
      <c r="V51" s="15">
        <f t="shared" si="26"/>
        <v>5.6142527761694767</v>
      </c>
      <c r="W51" s="15">
        <f t="shared" si="26"/>
        <v>5.7265378316928661</v>
      </c>
      <c r="X51" s="15">
        <f t="shared" si="26"/>
        <v>5.8410685883267233</v>
      </c>
      <c r="Y51" s="15">
        <f t="shared" si="26"/>
        <v>5.957889960093258</v>
      </c>
      <c r="Z51" s="15">
        <f t="shared" si="26"/>
        <v>6.0770477592951231</v>
      </c>
      <c r="AA51" s="15">
        <f t="shared" si="26"/>
        <v>6.1985887144810254</v>
      </c>
      <c r="AB51" s="15">
        <f t="shared" si="26"/>
        <v>6.3225604887706464</v>
      </c>
      <c r="AC51" s="15">
        <f t="shared" si="26"/>
        <v>6.4490116985460597</v>
      </c>
      <c r="AD51" s="15">
        <f t="shared" si="26"/>
        <v>6.5779919325169809</v>
      </c>
      <c r="AE51" s="15">
        <f t="shared" si="26"/>
        <v>6.7095517711673205</v>
      </c>
      <c r="AF51" s="15">
        <f t="shared" si="26"/>
        <v>6.8437428065906669</v>
      </c>
      <c r="AG51" s="15">
        <f t="shared" si="26"/>
        <v>6.9806176627224801</v>
      </c>
      <c r="AH51" s="16">
        <f t="shared" si="26"/>
        <v>7.1202300159769294</v>
      </c>
    </row>
    <row r="52" spans="1:34" x14ac:dyDescent="0.25">
      <c r="H52" t="s">
        <v>25</v>
      </c>
      <c r="I52" s="1">
        <f>+I50*8.34</f>
        <v>4.3368000000000002</v>
      </c>
      <c r="J52" s="1">
        <f>I52*(1+J13/100)</f>
        <v>4.4235360000000004</v>
      </c>
      <c r="K52" s="1">
        <f>+J52*(1+K13/100)</f>
        <v>4.5120067200000005</v>
      </c>
      <c r="L52" s="1">
        <f t="shared" ref="L52:AC52" si="27">+K52*(1+L13/100)</f>
        <v>4.6022468544000006</v>
      </c>
      <c r="M52" s="1">
        <f t="shared" si="27"/>
        <v>4.6942917914880002</v>
      </c>
      <c r="N52" s="1">
        <f t="shared" si="27"/>
        <v>4.7881776273177605</v>
      </c>
      <c r="O52" s="1">
        <f t="shared" si="27"/>
        <v>4.8839411798641157</v>
      </c>
      <c r="P52" s="1">
        <f t="shared" si="27"/>
        <v>4.9816200034613978</v>
      </c>
      <c r="Q52" s="1">
        <f t="shared" si="27"/>
        <v>5.0812524035306259</v>
      </c>
      <c r="R52" s="1">
        <f t="shared" si="27"/>
        <v>5.1828774516012386</v>
      </c>
      <c r="S52" s="1">
        <f t="shared" si="27"/>
        <v>5.2865350006332639</v>
      </c>
      <c r="T52" s="1">
        <f t="shared" si="27"/>
        <v>5.3922657006459289</v>
      </c>
      <c r="U52" s="1">
        <f t="shared" si="27"/>
        <v>5.5001110146588479</v>
      </c>
      <c r="V52" s="1">
        <f t="shared" si="27"/>
        <v>5.6101132349520251</v>
      </c>
      <c r="W52" s="1">
        <f t="shared" si="27"/>
        <v>5.7223154996510655</v>
      </c>
      <c r="X52" s="1">
        <f t="shared" si="27"/>
        <v>5.836761809644087</v>
      </c>
      <c r="Y52" s="1">
        <f t="shared" si="27"/>
        <v>5.9534970458369685</v>
      </c>
      <c r="Z52" s="1">
        <f t="shared" si="27"/>
        <v>6.0725669867537082</v>
      </c>
      <c r="AA52" s="1">
        <f t="shared" si="27"/>
        <v>6.1940183264887825</v>
      </c>
      <c r="AB52" s="1">
        <f t="shared" si="27"/>
        <v>6.3178986930185586</v>
      </c>
      <c r="AC52" s="1">
        <f t="shared" si="27"/>
        <v>6.4442566668789301</v>
      </c>
      <c r="AD52">
        <v>0</v>
      </c>
      <c r="AE52">
        <v>0</v>
      </c>
      <c r="AF52">
        <v>0</v>
      </c>
      <c r="AG52">
        <v>0</v>
      </c>
      <c r="AH52">
        <v>0</v>
      </c>
    </row>
    <row r="54" spans="1:34" ht="15.75" x14ac:dyDescent="0.25">
      <c r="A54" t="s">
        <v>94</v>
      </c>
      <c r="H54" t="s">
        <v>6</v>
      </c>
      <c r="I54" s="24">
        <v>0.5</v>
      </c>
      <c r="J54" s="17">
        <f>I54*(1+J12/100)</f>
        <v>0.51</v>
      </c>
      <c r="K54" s="15">
        <f t="shared" ref="K54:AH54" si="28">J54*(1+K12/100)</f>
        <v>0.5202</v>
      </c>
      <c r="L54" s="15">
        <f t="shared" si="28"/>
        <v>0.53060399999999996</v>
      </c>
      <c r="M54" s="15">
        <f t="shared" si="28"/>
        <v>0.54121607999999999</v>
      </c>
      <c r="N54" s="15">
        <f t="shared" si="28"/>
        <v>0.55204040160000001</v>
      </c>
      <c r="O54" s="15">
        <f t="shared" si="28"/>
        <v>0.56308120963200003</v>
      </c>
      <c r="P54" s="15">
        <f t="shared" si="28"/>
        <v>0.57434283382464002</v>
      </c>
      <c r="Q54" s="15">
        <f t="shared" si="28"/>
        <v>0.58582969050113287</v>
      </c>
      <c r="R54" s="15">
        <f t="shared" si="28"/>
        <v>0.59754628431115553</v>
      </c>
      <c r="S54" s="15">
        <f t="shared" si="28"/>
        <v>0.60949720999737866</v>
      </c>
      <c r="T54" s="15">
        <f t="shared" si="28"/>
        <v>0.62168715419732623</v>
      </c>
      <c r="U54" s="15">
        <f t="shared" si="28"/>
        <v>0.63412089728127274</v>
      </c>
      <c r="V54" s="15">
        <f t="shared" si="28"/>
        <v>0.64680331522689816</v>
      </c>
      <c r="W54" s="15">
        <f t="shared" si="28"/>
        <v>0.65973938153143619</v>
      </c>
      <c r="X54" s="15">
        <f t="shared" si="28"/>
        <v>0.67293416916206494</v>
      </c>
      <c r="Y54" s="15">
        <f t="shared" si="28"/>
        <v>0.68639285254530624</v>
      </c>
      <c r="Z54" s="15">
        <f t="shared" si="28"/>
        <v>0.70012070959621242</v>
      </c>
      <c r="AA54" s="15">
        <f t="shared" si="28"/>
        <v>0.71412312378813669</v>
      </c>
      <c r="AB54" s="15">
        <f t="shared" si="28"/>
        <v>0.7284055862638994</v>
      </c>
      <c r="AC54" s="15">
        <f t="shared" si="28"/>
        <v>0.74297369798917745</v>
      </c>
      <c r="AD54" s="15">
        <f t="shared" si="28"/>
        <v>0.75783317194896105</v>
      </c>
      <c r="AE54" s="15">
        <f t="shared" si="28"/>
        <v>0.77298983538794031</v>
      </c>
      <c r="AF54" s="15">
        <f t="shared" si="28"/>
        <v>0.78844963209569907</v>
      </c>
      <c r="AG54" s="15">
        <f t="shared" si="28"/>
        <v>0.80421862473761307</v>
      </c>
      <c r="AH54" s="16">
        <f t="shared" si="28"/>
        <v>0.82030299723236533</v>
      </c>
    </row>
    <row r="55" spans="1:34" x14ac:dyDescent="0.25">
      <c r="H55" t="s">
        <v>7</v>
      </c>
      <c r="I55">
        <v>0.5</v>
      </c>
      <c r="J55" s="1">
        <f>I55*(1+J13/100)</f>
        <v>0.51</v>
      </c>
      <c r="K55" s="1">
        <f>+J55*(1+K13/100)</f>
        <v>0.5202</v>
      </c>
      <c r="L55" s="1">
        <f t="shared" ref="L55:AC55" si="29">+K55*(1+L13/100)</f>
        <v>0.53060399999999996</v>
      </c>
      <c r="M55" s="1">
        <f t="shared" si="29"/>
        <v>0.54121607999999999</v>
      </c>
      <c r="N55" s="1">
        <f t="shared" si="29"/>
        <v>0.55204040160000001</v>
      </c>
      <c r="O55" s="1">
        <f t="shared" si="29"/>
        <v>0.56308120963200003</v>
      </c>
      <c r="P55" s="1">
        <f t="shared" si="29"/>
        <v>0.57434283382464002</v>
      </c>
      <c r="Q55" s="1">
        <f t="shared" si="29"/>
        <v>0.58582969050113287</v>
      </c>
      <c r="R55" s="1">
        <f t="shared" si="29"/>
        <v>0.59754628431115553</v>
      </c>
      <c r="S55" s="1">
        <f t="shared" si="29"/>
        <v>0.60949720999737866</v>
      </c>
      <c r="T55" s="1">
        <f t="shared" si="29"/>
        <v>0.62168715419732623</v>
      </c>
      <c r="U55" s="1">
        <f t="shared" si="29"/>
        <v>0.63412089728127274</v>
      </c>
      <c r="V55" s="1">
        <f t="shared" si="29"/>
        <v>0.64680331522689816</v>
      </c>
      <c r="W55" s="1">
        <f t="shared" si="29"/>
        <v>0.65973938153143619</v>
      </c>
      <c r="X55" s="1">
        <f t="shared" si="29"/>
        <v>0.67293416916206494</v>
      </c>
      <c r="Y55" s="1">
        <f t="shared" si="29"/>
        <v>0.68639285254530624</v>
      </c>
      <c r="Z55" s="1">
        <f t="shared" si="29"/>
        <v>0.70012070959621242</v>
      </c>
      <c r="AA55" s="1">
        <f t="shared" si="29"/>
        <v>0.71412312378813669</v>
      </c>
      <c r="AB55" s="1">
        <f t="shared" si="29"/>
        <v>0.7284055862638994</v>
      </c>
      <c r="AC55" s="1">
        <f t="shared" si="29"/>
        <v>0.74297369798917745</v>
      </c>
      <c r="AD55">
        <v>0</v>
      </c>
      <c r="AE55">
        <v>0</v>
      </c>
      <c r="AF55">
        <v>0</v>
      </c>
      <c r="AG55">
        <v>0</v>
      </c>
      <c r="AH55">
        <v>0</v>
      </c>
    </row>
    <row r="56" spans="1:34" ht="15.75" x14ac:dyDescent="0.25">
      <c r="H56" t="s">
        <v>5</v>
      </c>
      <c r="I56" s="24">
        <v>4.17</v>
      </c>
      <c r="J56" s="17">
        <f>I56*(1+J12/100)</f>
        <v>4.2534000000000001</v>
      </c>
      <c r="K56" s="15">
        <f t="shared" ref="K56:AH56" si="30">J56*(1+K12/100)</f>
        <v>4.3384679999999998</v>
      </c>
      <c r="L56" s="15">
        <f t="shared" si="30"/>
        <v>4.4252373599999997</v>
      </c>
      <c r="M56" s="15">
        <f t="shared" si="30"/>
        <v>4.5137421071999997</v>
      </c>
      <c r="N56" s="15">
        <f t="shared" si="30"/>
        <v>4.6040169493439995</v>
      </c>
      <c r="O56" s="15">
        <f t="shared" si="30"/>
        <v>4.69609728833088</v>
      </c>
      <c r="P56" s="15">
        <f t="shared" si="30"/>
        <v>4.7900192340974979</v>
      </c>
      <c r="Q56" s="15">
        <f t="shared" si="30"/>
        <v>4.8858196187794478</v>
      </c>
      <c r="R56" s="15">
        <f t="shared" si="30"/>
        <v>4.9835360111550369</v>
      </c>
      <c r="S56" s="15">
        <f t="shared" si="30"/>
        <v>5.0832067313781373</v>
      </c>
      <c r="T56" s="15">
        <f t="shared" si="30"/>
        <v>5.1848708660057001</v>
      </c>
      <c r="U56" s="15">
        <f t="shared" si="30"/>
        <v>5.2885682833258141</v>
      </c>
      <c r="V56" s="15">
        <f t="shared" si="30"/>
        <v>5.3943396489923305</v>
      </c>
      <c r="W56" s="15">
        <f t="shared" si="30"/>
        <v>5.5022264419721774</v>
      </c>
      <c r="X56" s="15">
        <f t="shared" si="30"/>
        <v>5.612270970811621</v>
      </c>
      <c r="Y56" s="15">
        <f t="shared" si="30"/>
        <v>5.7245163902278531</v>
      </c>
      <c r="Z56" s="15">
        <f t="shared" si="30"/>
        <v>5.8390067180324099</v>
      </c>
      <c r="AA56" s="15">
        <f t="shared" si="30"/>
        <v>5.9557868523930582</v>
      </c>
      <c r="AB56" s="15">
        <f t="shared" si="30"/>
        <v>6.074902589440919</v>
      </c>
      <c r="AC56" s="15">
        <f t="shared" si="30"/>
        <v>6.1964006412297374</v>
      </c>
      <c r="AD56" s="15">
        <f t="shared" si="30"/>
        <v>6.3203286540543324</v>
      </c>
      <c r="AE56" s="15">
        <f t="shared" si="30"/>
        <v>6.4467352271354192</v>
      </c>
      <c r="AF56" s="15">
        <f t="shared" si="30"/>
        <v>6.575669931678128</v>
      </c>
      <c r="AG56" s="15">
        <f t="shared" si="30"/>
        <v>6.7071833303116906</v>
      </c>
      <c r="AH56" s="16">
        <f t="shared" si="30"/>
        <v>6.8413269969179247</v>
      </c>
    </row>
    <row r="57" spans="1:34" x14ac:dyDescent="0.25">
      <c r="H57" t="s">
        <v>25</v>
      </c>
      <c r="I57" s="1">
        <f>+I55*8.34</f>
        <v>4.17</v>
      </c>
      <c r="J57" s="1">
        <f>I57*(1+J13/100)</f>
        <v>4.2534000000000001</v>
      </c>
      <c r="K57" s="1">
        <f>+J57*(1+K13/100)</f>
        <v>4.3384679999999998</v>
      </c>
      <c r="L57" s="1">
        <f t="shared" ref="L57:AC57" si="31">+K57*(1+L13/100)</f>
        <v>4.4252373599999997</v>
      </c>
      <c r="M57" s="1">
        <f t="shared" si="31"/>
        <v>4.5137421071999997</v>
      </c>
      <c r="N57" s="1">
        <f t="shared" si="31"/>
        <v>4.6040169493439995</v>
      </c>
      <c r="O57" s="1">
        <f t="shared" si="31"/>
        <v>4.69609728833088</v>
      </c>
      <c r="P57" s="1">
        <f t="shared" si="31"/>
        <v>4.7900192340974979</v>
      </c>
      <c r="Q57" s="1">
        <f t="shared" si="31"/>
        <v>4.8858196187794478</v>
      </c>
      <c r="R57" s="1">
        <f t="shared" si="31"/>
        <v>4.9835360111550369</v>
      </c>
      <c r="S57" s="1">
        <f t="shared" si="31"/>
        <v>5.0832067313781373</v>
      </c>
      <c r="T57" s="1">
        <f t="shared" si="31"/>
        <v>5.1848708660057001</v>
      </c>
      <c r="U57" s="1">
        <f t="shared" si="31"/>
        <v>5.2885682833258141</v>
      </c>
      <c r="V57" s="1">
        <f t="shared" si="31"/>
        <v>5.3943396489923305</v>
      </c>
      <c r="W57" s="1">
        <f t="shared" si="31"/>
        <v>5.5022264419721774</v>
      </c>
      <c r="X57" s="1">
        <f t="shared" si="31"/>
        <v>5.612270970811621</v>
      </c>
      <c r="Y57" s="1">
        <f t="shared" si="31"/>
        <v>5.7245163902278531</v>
      </c>
      <c r="Z57" s="1">
        <f t="shared" si="31"/>
        <v>5.8390067180324099</v>
      </c>
      <c r="AA57" s="1">
        <f t="shared" si="31"/>
        <v>5.9557868523930582</v>
      </c>
      <c r="AB57" s="1">
        <f t="shared" si="31"/>
        <v>6.074902589440919</v>
      </c>
      <c r="AC57" s="1">
        <f t="shared" si="31"/>
        <v>6.1964006412297374</v>
      </c>
      <c r="AD57">
        <v>0</v>
      </c>
      <c r="AE57">
        <v>0</v>
      </c>
      <c r="AF57">
        <v>0</v>
      </c>
      <c r="AG57">
        <v>0</v>
      </c>
      <c r="AH57">
        <v>0</v>
      </c>
    </row>
    <row r="59" spans="1:34" ht="15.75" x14ac:dyDescent="0.25">
      <c r="A59" t="s">
        <v>94</v>
      </c>
      <c r="H59" t="s">
        <v>6</v>
      </c>
      <c r="I59" s="24">
        <v>0.5</v>
      </c>
      <c r="J59" s="18">
        <f>I59*(1+J12/100)</f>
        <v>0.51</v>
      </c>
      <c r="K59" s="15">
        <f t="shared" ref="K59:AH59" si="32">J59*(1+K12/100)</f>
        <v>0.5202</v>
      </c>
      <c r="L59" s="15">
        <f t="shared" si="32"/>
        <v>0.53060399999999996</v>
      </c>
      <c r="M59" s="15">
        <f t="shared" si="32"/>
        <v>0.54121607999999999</v>
      </c>
      <c r="N59" s="15">
        <f t="shared" si="32"/>
        <v>0.55204040160000001</v>
      </c>
      <c r="O59" s="15">
        <f t="shared" si="32"/>
        <v>0.56308120963200003</v>
      </c>
      <c r="P59" s="15">
        <f t="shared" si="32"/>
        <v>0.57434283382464002</v>
      </c>
      <c r="Q59" s="15">
        <f t="shared" si="32"/>
        <v>0.58582969050113287</v>
      </c>
      <c r="R59" s="15">
        <f t="shared" si="32"/>
        <v>0.59754628431115553</v>
      </c>
      <c r="S59" s="15">
        <f t="shared" si="32"/>
        <v>0.60949720999737866</v>
      </c>
      <c r="T59" s="15">
        <f t="shared" si="32"/>
        <v>0.62168715419732623</v>
      </c>
      <c r="U59" s="15">
        <f t="shared" si="32"/>
        <v>0.63412089728127274</v>
      </c>
      <c r="V59" s="15">
        <f t="shared" si="32"/>
        <v>0.64680331522689816</v>
      </c>
      <c r="W59" s="15">
        <f t="shared" si="32"/>
        <v>0.65973938153143619</v>
      </c>
      <c r="X59" s="15">
        <f t="shared" si="32"/>
        <v>0.67293416916206494</v>
      </c>
      <c r="Y59" s="15">
        <f t="shared" si="32"/>
        <v>0.68639285254530624</v>
      </c>
      <c r="Z59" s="15">
        <f t="shared" si="32"/>
        <v>0.70012070959621242</v>
      </c>
      <c r="AA59" s="15">
        <f t="shared" si="32"/>
        <v>0.71412312378813669</v>
      </c>
      <c r="AB59" s="15">
        <f t="shared" si="32"/>
        <v>0.7284055862638994</v>
      </c>
      <c r="AC59" s="15">
        <f t="shared" si="32"/>
        <v>0.74297369798917745</v>
      </c>
      <c r="AD59" s="15">
        <f t="shared" si="32"/>
        <v>0.75783317194896105</v>
      </c>
      <c r="AE59" s="15">
        <f t="shared" si="32"/>
        <v>0.77298983538794031</v>
      </c>
      <c r="AF59" s="15">
        <f t="shared" si="32"/>
        <v>0.78844963209569907</v>
      </c>
      <c r="AG59" s="15">
        <f t="shared" si="32"/>
        <v>0.80421862473761307</v>
      </c>
      <c r="AH59" s="16">
        <f t="shared" si="32"/>
        <v>0.82030299723236533</v>
      </c>
    </row>
    <row r="60" spans="1:34" x14ac:dyDescent="0.25">
      <c r="H60" t="s">
        <v>7</v>
      </c>
      <c r="I60">
        <v>0.5</v>
      </c>
      <c r="J60">
        <f>I60*(1+J13/100)</f>
        <v>0.51</v>
      </c>
      <c r="K60">
        <f>+J60*(1+K13/100)</f>
        <v>0.5202</v>
      </c>
      <c r="L60" s="1">
        <f t="shared" ref="L60:AC60" si="33">+K60*(1+L13/100)</f>
        <v>0.53060399999999996</v>
      </c>
      <c r="M60" s="1">
        <f t="shared" si="33"/>
        <v>0.54121607999999999</v>
      </c>
      <c r="N60" s="1">
        <f t="shared" si="33"/>
        <v>0.55204040160000001</v>
      </c>
      <c r="O60" s="1">
        <f t="shared" si="33"/>
        <v>0.56308120963200003</v>
      </c>
      <c r="P60" s="1">
        <f t="shared" si="33"/>
        <v>0.57434283382464002</v>
      </c>
      <c r="Q60" s="1">
        <f t="shared" si="33"/>
        <v>0.58582969050113287</v>
      </c>
      <c r="R60" s="1">
        <f t="shared" si="33"/>
        <v>0.59754628431115553</v>
      </c>
      <c r="S60" s="1">
        <f t="shared" si="33"/>
        <v>0.60949720999737866</v>
      </c>
      <c r="T60" s="1">
        <f t="shared" si="33"/>
        <v>0.62168715419732623</v>
      </c>
      <c r="U60" s="1">
        <f t="shared" si="33"/>
        <v>0.63412089728127274</v>
      </c>
      <c r="V60" s="1">
        <f t="shared" si="33"/>
        <v>0.64680331522689816</v>
      </c>
      <c r="W60" s="1">
        <f t="shared" si="33"/>
        <v>0.65973938153143619</v>
      </c>
      <c r="X60" s="1">
        <f t="shared" si="33"/>
        <v>0.67293416916206494</v>
      </c>
      <c r="Y60" s="1">
        <f t="shared" si="33"/>
        <v>0.68639285254530624</v>
      </c>
      <c r="Z60" s="1">
        <f t="shared" si="33"/>
        <v>0.70012070959621242</v>
      </c>
      <c r="AA60" s="1">
        <f t="shared" si="33"/>
        <v>0.71412312378813669</v>
      </c>
      <c r="AB60" s="1">
        <f t="shared" si="33"/>
        <v>0.7284055862638994</v>
      </c>
      <c r="AC60" s="1">
        <f t="shared" si="33"/>
        <v>0.74297369798917745</v>
      </c>
      <c r="AD60">
        <v>0</v>
      </c>
      <c r="AE60">
        <v>0</v>
      </c>
      <c r="AF60">
        <v>0</v>
      </c>
      <c r="AG60">
        <v>0</v>
      </c>
      <c r="AH60">
        <v>0</v>
      </c>
    </row>
    <row r="61" spans="1:34" ht="15.75" x14ac:dyDescent="0.25">
      <c r="H61" t="s">
        <v>5</v>
      </c>
      <c r="I61" s="24">
        <v>4.17</v>
      </c>
      <c r="J61" s="17">
        <f>I61*(1+J12/100)</f>
        <v>4.2534000000000001</v>
      </c>
      <c r="K61" s="15">
        <f t="shared" ref="K61:AH61" si="34">J61*(1+K12/100)</f>
        <v>4.3384679999999998</v>
      </c>
      <c r="L61" s="15">
        <f t="shared" si="34"/>
        <v>4.4252373599999997</v>
      </c>
      <c r="M61" s="15">
        <f t="shared" si="34"/>
        <v>4.5137421071999997</v>
      </c>
      <c r="N61" s="15">
        <f t="shared" si="34"/>
        <v>4.6040169493439995</v>
      </c>
      <c r="O61" s="15">
        <f t="shared" si="34"/>
        <v>4.69609728833088</v>
      </c>
      <c r="P61" s="15">
        <f t="shared" si="34"/>
        <v>4.7900192340974979</v>
      </c>
      <c r="Q61" s="15">
        <f t="shared" si="34"/>
        <v>4.8858196187794478</v>
      </c>
      <c r="R61" s="15">
        <f t="shared" si="34"/>
        <v>4.9835360111550369</v>
      </c>
      <c r="S61" s="15">
        <f t="shared" si="34"/>
        <v>5.0832067313781373</v>
      </c>
      <c r="T61" s="15">
        <f t="shared" si="34"/>
        <v>5.1848708660057001</v>
      </c>
      <c r="U61" s="15">
        <f t="shared" si="34"/>
        <v>5.2885682833258141</v>
      </c>
      <c r="V61" s="15">
        <f t="shared" si="34"/>
        <v>5.3943396489923305</v>
      </c>
      <c r="W61" s="15">
        <f t="shared" si="34"/>
        <v>5.5022264419721774</v>
      </c>
      <c r="X61" s="15">
        <f t="shared" si="34"/>
        <v>5.612270970811621</v>
      </c>
      <c r="Y61" s="15">
        <f t="shared" si="34"/>
        <v>5.7245163902278531</v>
      </c>
      <c r="Z61" s="15">
        <f t="shared" si="34"/>
        <v>5.8390067180324099</v>
      </c>
      <c r="AA61" s="15">
        <f t="shared" si="34"/>
        <v>5.9557868523930582</v>
      </c>
      <c r="AB61" s="15">
        <f t="shared" si="34"/>
        <v>6.074902589440919</v>
      </c>
      <c r="AC61" s="15">
        <f t="shared" si="34"/>
        <v>6.1964006412297374</v>
      </c>
      <c r="AD61" s="15">
        <f t="shared" si="34"/>
        <v>6.3203286540543324</v>
      </c>
      <c r="AE61" s="15">
        <f t="shared" si="34"/>
        <v>6.4467352271354192</v>
      </c>
      <c r="AF61" s="15">
        <f t="shared" si="34"/>
        <v>6.575669931678128</v>
      </c>
      <c r="AG61" s="15">
        <f t="shared" si="34"/>
        <v>6.7071833303116906</v>
      </c>
      <c r="AH61" s="16">
        <f t="shared" si="34"/>
        <v>6.8413269969179247</v>
      </c>
    </row>
    <row r="62" spans="1:34" x14ac:dyDescent="0.25">
      <c r="H62" t="s">
        <v>25</v>
      </c>
      <c r="I62" s="1">
        <f>+I60*8.34</f>
        <v>4.17</v>
      </c>
      <c r="J62" s="1">
        <f>I62*(1+J13/100)</f>
        <v>4.2534000000000001</v>
      </c>
      <c r="K62" s="1">
        <f>+J62*(1+K13/100)</f>
        <v>4.3384679999999998</v>
      </c>
      <c r="L62" s="1">
        <f t="shared" ref="L62:AC62" si="35">+K62*(1+L13/100)</f>
        <v>4.4252373599999997</v>
      </c>
      <c r="M62" s="1">
        <f t="shared" si="35"/>
        <v>4.5137421071999997</v>
      </c>
      <c r="N62" s="1">
        <f t="shared" si="35"/>
        <v>4.6040169493439995</v>
      </c>
      <c r="O62" s="1">
        <f t="shared" si="35"/>
        <v>4.69609728833088</v>
      </c>
      <c r="P62" s="1">
        <f t="shared" si="35"/>
        <v>4.7900192340974979</v>
      </c>
      <c r="Q62" s="1">
        <f t="shared" si="35"/>
        <v>4.8858196187794478</v>
      </c>
      <c r="R62" s="1">
        <f t="shared" si="35"/>
        <v>4.9835360111550369</v>
      </c>
      <c r="S62" s="1">
        <f t="shared" si="35"/>
        <v>5.0832067313781373</v>
      </c>
      <c r="T62" s="1">
        <f t="shared" si="35"/>
        <v>5.1848708660057001</v>
      </c>
      <c r="U62" s="1">
        <f t="shared" si="35"/>
        <v>5.2885682833258141</v>
      </c>
      <c r="V62" s="1">
        <f t="shared" si="35"/>
        <v>5.3943396489923305</v>
      </c>
      <c r="W62" s="1">
        <f t="shared" si="35"/>
        <v>5.5022264419721774</v>
      </c>
      <c r="X62" s="1">
        <f t="shared" si="35"/>
        <v>5.612270970811621</v>
      </c>
      <c r="Y62" s="1">
        <f t="shared" si="35"/>
        <v>5.7245163902278531</v>
      </c>
      <c r="Z62" s="1">
        <f t="shared" si="35"/>
        <v>5.8390067180324099</v>
      </c>
      <c r="AA62" s="1">
        <f t="shared" si="35"/>
        <v>5.9557868523930582</v>
      </c>
      <c r="AB62" s="1">
        <f t="shared" si="35"/>
        <v>6.074902589440919</v>
      </c>
      <c r="AC62" s="1">
        <f t="shared" si="35"/>
        <v>6.1964006412297374</v>
      </c>
      <c r="AD62">
        <v>0</v>
      </c>
      <c r="AE62">
        <v>0</v>
      </c>
      <c r="AF62">
        <v>0</v>
      </c>
      <c r="AG62">
        <v>0</v>
      </c>
      <c r="AH62">
        <v>0</v>
      </c>
    </row>
    <row r="64" spans="1:34" ht="15.75" x14ac:dyDescent="0.25">
      <c r="A64" t="s">
        <v>96</v>
      </c>
      <c r="H64" t="s">
        <v>6</v>
      </c>
      <c r="I64" s="24">
        <v>0.53</v>
      </c>
      <c r="J64" s="17">
        <f>I64*(1+J12/100)</f>
        <v>0.54060000000000008</v>
      </c>
      <c r="K64" s="15">
        <f t="shared" ref="K64:AH64" si="36">J64*(1+K12/100)</f>
        <v>0.55141200000000012</v>
      </c>
      <c r="L64" s="15">
        <f t="shared" si="36"/>
        <v>0.56244024000000015</v>
      </c>
      <c r="M64" s="15">
        <f t="shared" si="36"/>
        <v>0.57368904480000016</v>
      </c>
      <c r="N64" s="15">
        <f t="shared" si="36"/>
        <v>0.5851628256960002</v>
      </c>
      <c r="O64" s="15">
        <f t="shared" si="36"/>
        <v>0.59686608220992021</v>
      </c>
      <c r="P64" s="15">
        <f t="shared" si="36"/>
        <v>0.60880340385411857</v>
      </c>
      <c r="Q64" s="15">
        <f t="shared" si="36"/>
        <v>0.62097947193120095</v>
      </c>
      <c r="R64" s="15">
        <f t="shared" si="36"/>
        <v>0.63339906136982493</v>
      </c>
      <c r="S64" s="15">
        <f t="shared" si="36"/>
        <v>0.64606704259722147</v>
      </c>
      <c r="T64" s="15">
        <f t="shared" si="36"/>
        <v>0.65898838344916588</v>
      </c>
      <c r="U64" s="15">
        <f t="shared" si="36"/>
        <v>0.6721681511181492</v>
      </c>
      <c r="V64" s="15">
        <f t="shared" si="36"/>
        <v>0.68561151414051225</v>
      </c>
      <c r="W64" s="15">
        <f t="shared" si="36"/>
        <v>0.69932374442332246</v>
      </c>
      <c r="X64" s="15">
        <f t="shared" si="36"/>
        <v>0.71331021931178895</v>
      </c>
      <c r="Y64" s="15">
        <f t="shared" si="36"/>
        <v>0.72757642369802478</v>
      </c>
      <c r="Z64" s="15">
        <f t="shared" si="36"/>
        <v>0.74212795217198524</v>
      </c>
      <c r="AA64" s="15">
        <f t="shared" si="36"/>
        <v>0.75697051121542491</v>
      </c>
      <c r="AB64" s="15">
        <f t="shared" si="36"/>
        <v>0.77210992143973345</v>
      </c>
      <c r="AC64" s="15">
        <f t="shared" si="36"/>
        <v>0.78755211986852813</v>
      </c>
      <c r="AD64" s="15">
        <f t="shared" si="36"/>
        <v>0.80330316226589871</v>
      </c>
      <c r="AE64" s="15">
        <f t="shared" si="36"/>
        <v>0.81936922551121671</v>
      </c>
      <c r="AF64" s="15">
        <f t="shared" si="36"/>
        <v>0.83575661002144108</v>
      </c>
      <c r="AG64" s="15">
        <f t="shared" si="36"/>
        <v>0.85247174222186994</v>
      </c>
      <c r="AH64" s="16">
        <f t="shared" si="36"/>
        <v>0.86952117706630738</v>
      </c>
    </row>
    <row r="65" spans="1:34" x14ac:dyDescent="0.25">
      <c r="H65" t="s">
        <v>7</v>
      </c>
      <c r="I65">
        <v>0.53</v>
      </c>
      <c r="J65" s="1">
        <f>I65*(1+J13/100)</f>
        <v>0.54060000000000008</v>
      </c>
      <c r="K65" s="1">
        <f>+J65*(1+K13/100)</f>
        <v>0.55141200000000012</v>
      </c>
      <c r="L65" s="1">
        <f t="shared" ref="L65:AC65" si="37">+K65*(1+L13/100)</f>
        <v>0.56244024000000015</v>
      </c>
      <c r="M65" s="1">
        <f t="shared" si="37"/>
        <v>0.57368904480000016</v>
      </c>
      <c r="N65" s="1">
        <f t="shared" si="37"/>
        <v>0.5851628256960002</v>
      </c>
      <c r="O65" s="1">
        <f t="shared" si="37"/>
        <v>0.59686608220992021</v>
      </c>
      <c r="P65" s="1">
        <f t="shared" si="37"/>
        <v>0.60880340385411857</v>
      </c>
      <c r="Q65" s="1">
        <f t="shared" si="37"/>
        <v>0.62097947193120095</v>
      </c>
      <c r="R65" s="1">
        <f t="shared" si="37"/>
        <v>0.63339906136982493</v>
      </c>
      <c r="S65" s="1">
        <f t="shared" si="37"/>
        <v>0.64606704259722147</v>
      </c>
      <c r="T65" s="1">
        <f t="shared" si="37"/>
        <v>0.65898838344916588</v>
      </c>
      <c r="U65" s="1">
        <f t="shared" si="37"/>
        <v>0.6721681511181492</v>
      </c>
      <c r="V65" s="1">
        <f t="shared" si="37"/>
        <v>0.68561151414051225</v>
      </c>
      <c r="W65" s="1">
        <f t="shared" si="37"/>
        <v>0.69932374442332246</v>
      </c>
      <c r="X65" s="1">
        <f t="shared" si="37"/>
        <v>0.71331021931178895</v>
      </c>
      <c r="Y65" s="1">
        <f t="shared" si="37"/>
        <v>0.72757642369802478</v>
      </c>
      <c r="Z65" s="1">
        <f t="shared" si="37"/>
        <v>0.74212795217198524</v>
      </c>
      <c r="AA65" s="1">
        <f t="shared" si="37"/>
        <v>0.75697051121542491</v>
      </c>
      <c r="AB65" s="1">
        <f t="shared" si="37"/>
        <v>0.77210992143973345</v>
      </c>
      <c r="AC65" s="1">
        <f t="shared" si="37"/>
        <v>0.78755211986852813</v>
      </c>
      <c r="AD65">
        <v>0</v>
      </c>
      <c r="AE65">
        <v>0</v>
      </c>
      <c r="AF65">
        <v>0</v>
      </c>
      <c r="AG65">
        <v>0</v>
      </c>
      <c r="AH65">
        <v>0</v>
      </c>
    </row>
    <row r="66" spans="1:34" ht="15.75" x14ac:dyDescent="0.25">
      <c r="H66" t="s">
        <v>5</v>
      </c>
      <c r="I66" s="24">
        <v>4.42</v>
      </c>
      <c r="J66" s="17">
        <f>I66*(1+J12/100)</f>
        <v>4.5084</v>
      </c>
      <c r="K66" s="15">
        <f t="shared" ref="K66:AH66" si="38">J66*(1+K12/100)</f>
        <v>4.5985680000000002</v>
      </c>
      <c r="L66" s="15">
        <f t="shared" si="38"/>
        <v>4.6905393600000007</v>
      </c>
      <c r="M66" s="15">
        <f t="shared" si="38"/>
        <v>4.7843501472000005</v>
      </c>
      <c r="N66" s="15">
        <f t="shared" si="38"/>
        <v>4.880037150144001</v>
      </c>
      <c r="O66" s="15">
        <f t="shared" si="38"/>
        <v>4.9776378931468814</v>
      </c>
      <c r="P66" s="15">
        <f t="shared" si="38"/>
        <v>5.0771906510098193</v>
      </c>
      <c r="Q66" s="15">
        <f t="shared" si="38"/>
        <v>5.1787344640300157</v>
      </c>
      <c r="R66" s="15">
        <f t="shared" si="38"/>
        <v>5.2823091533106163</v>
      </c>
      <c r="S66" s="15">
        <f t="shared" si="38"/>
        <v>5.3879553363768284</v>
      </c>
      <c r="T66" s="15">
        <f t="shared" si="38"/>
        <v>5.4957144431043652</v>
      </c>
      <c r="U66" s="15">
        <f t="shared" si="38"/>
        <v>5.6056287319664522</v>
      </c>
      <c r="V66" s="15">
        <f t="shared" si="38"/>
        <v>5.7177413066057809</v>
      </c>
      <c r="W66" s="15">
        <f t="shared" si="38"/>
        <v>5.8320961327378971</v>
      </c>
      <c r="X66" s="15">
        <f t="shared" si="38"/>
        <v>5.9487380553926554</v>
      </c>
      <c r="Y66" s="15">
        <f t="shared" si="38"/>
        <v>6.0677128165005083</v>
      </c>
      <c r="Z66" s="15">
        <f t="shared" si="38"/>
        <v>6.1890670728305182</v>
      </c>
      <c r="AA66" s="15">
        <f t="shared" si="38"/>
        <v>6.3128484142871288</v>
      </c>
      <c r="AB66" s="15">
        <f t="shared" si="38"/>
        <v>6.4391053825728717</v>
      </c>
      <c r="AC66" s="15">
        <f t="shared" si="38"/>
        <v>6.5678874902243294</v>
      </c>
      <c r="AD66" s="15">
        <f t="shared" si="38"/>
        <v>6.6992452400288158</v>
      </c>
      <c r="AE66" s="15">
        <f t="shared" si="38"/>
        <v>6.8332301448293924</v>
      </c>
      <c r="AF66" s="15">
        <f t="shared" si="38"/>
        <v>6.9698947477259807</v>
      </c>
      <c r="AG66" s="15">
        <f t="shared" si="38"/>
        <v>7.1092926426805008</v>
      </c>
      <c r="AH66" s="16">
        <f t="shared" si="38"/>
        <v>7.2514784955341112</v>
      </c>
    </row>
    <row r="67" spans="1:34" x14ac:dyDescent="0.25">
      <c r="H67" t="s">
        <v>25</v>
      </c>
      <c r="I67" s="1">
        <f>+I65*8.34</f>
        <v>4.4202000000000004</v>
      </c>
      <c r="J67" s="1">
        <f>I67*(1+J13/100)</f>
        <v>4.5086040000000001</v>
      </c>
      <c r="K67" s="1">
        <f>+J67*(1+K13/100)</f>
        <v>4.5987760800000004</v>
      </c>
      <c r="L67" s="1">
        <f t="shared" ref="L67:AC67" si="39">+K67*(1+L13/100)</f>
        <v>4.6907516016000006</v>
      </c>
      <c r="M67" s="1">
        <f t="shared" si="39"/>
        <v>4.784566633632001</v>
      </c>
      <c r="N67" s="1">
        <f t="shared" si="39"/>
        <v>4.880257966304641</v>
      </c>
      <c r="O67" s="1">
        <f t="shared" si="39"/>
        <v>4.9778631256307335</v>
      </c>
      <c r="P67" s="1">
        <f t="shared" si="39"/>
        <v>5.0774203881433486</v>
      </c>
      <c r="Q67" s="1">
        <f t="shared" si="39"/>
        <v>5.1789687959062158</v>
      </c>
      <c r="R67" s="1">
        <f t="shared" si="39"/>
        <v>5.2825481718243399</v>
      </c>
      <c r="S67" s="1">
        <f t="shared" si="39"/>
        <v>5.3881991352608267</v>
      </c>
      <c r="T67" s="1">
        <f t="shared" si="39"/>
        <v>5.4959631179660438</v>
      </c>
      <c r="U67" s="1">
        <f t="shared" si="39"/>
        <v>5.6058823803253643</v>
      </c>
      <c r="V67" s="1">
        <f t="shared" si="39"/>
        <v>5.7180000279318719</v>
      </c>
      <c r="W67" s="1">
        <f t="shared" si="39"/>
        <v>5.8323600284905091</v>
      </c>
      <c r="X67" s="1">
        <f t="shared" si="39"/>
        <v>5.9490072290603191</v>
      </c>
      <c r="Y67" s="1">
        <f t="shared" si="39"/>
        <v>6.0679873736415253</v>
      </c>
      <c r="Z67" s="1">
        <f t="shared" si="39"/>
        <v>6.1893471211143556</v>
      </c>
      <c r="AA67" s="1">
        <f t="shared" si="39"/>
        <v>6.3131340635366424</v>
      </c>
      <c r="AB67" s="1">
        <f t="shared" si="39"/>
        <v>6.4393967448073752</v>
      </c>
      <c r="AC67" s="1">
        <f t="shared" si="39"/>
        <v>6.5681846797035233</v>
      </c>
      <c r="AD67">
        <v>0</v>
      </c>
      <c r="AE67">
        <v>0</v>
      </c>
      <c r="AF67">
        <v>0</v>
      </c>
      <c r="AG67">
        <v>0</v>
      </c>
      <c r="AH67">
        <v>0</v>
      </c>
    </row>
    <row r="68" spans="1:34" x14ac:dyDescent="0.25">
      <c r="A68" t="s">
        <v>27</v>
      </c>
    </row>
    <row r="69" spans="1:34" s="25" customFormat="1" x14ac:dyDescent="0.25">
      <c r="A69" s="25" t="s">
        <v>42</v>
      </c>
      <c r="H69" s="25" t="s">
        <v>6</v>
      </c>
      <c r="I69" s="52">
        <f>+I44+I49+I54+I59+I64</f>
        <v>5.31</v>
      </c>
      <c r="J69" s="53">
        <f t="shared" ref="J69:AH70" si="40">+J44+J49+J54+J59+J64</f>
        <v>5.4161999999999999</v>
      </c>
      <c r="K69" s="53">
        <f t="shared" si="40"/>
        <v>5.5245239999999995</v>
      </c>
      <c r="L69" s="53">
        <f t="shared" si="40"/>
        <v>5.6350144800000006</v>
      </c>
      <c r="M69" s="53">
        <f t="shared" si="40"/>
        <v>5.7477147695999999</v>
      </c>
      <c r="N69" s="53">
        <f t="shared" si="40"/>
        <v>5.8626690649920006</v>
      </c>
      <c r="O69" s="53">
        <f t="shared" si="40"/>
        <v>5.9799224462918401</v>
      </c>
      <c r="P69" s="53">
        <f t="shared" si="40"/>
        <v>6.0995208952176778</v>
      </c>
      <c r="Q69" s="53">
        <f t="shared" si="40"/>
        <v>6.2215113131220319</v>
      </c>
      <c r="R69" s="53">
        <f t="shared" si="40"/>
        <v>6.3459415393844711</v>
      </c>
      <c r="S69" s="53">
        <f t="shared" si="40"/>
        <v>6.4728603701721612</v>
      </c>
      <c r="T69" s="53">
        <f t="shared" si="40"/>
        <v>6.6023175775756053</v>
      </c>
      <c r="U69" s="53">
        <f t="shared" si="40"/>
        <v>6.7343639291271167</v>
      </c>
      <c r="V69" s="53">
        <f t="shared" si="40"/>
        <v>6.869051207709659</v>
      </c>
      <c r="W69" s="53">
        <f t="shared" si="40"/>
        <v>7.0064322318638519</v>
      </c>
      <c r="X69" s="53">
        <f t="shared" si="40"/>
        <v>7.1465608765011295</v>
      </c>
      <c r="Y69" s="53">
        <f t="shared" si="40"/>
        <v>7.2894920940311518</v>
      </c>
      <c r="Z69" s="53">
        <f t="shared" si="40"/>
        <v>7.4352819359117746</v>
      </c>
      <c r="AA69" s="53">
        <f t="shared" si="40"/>
        <v>7.5839875746300116</v>
      </c>
      <c r="AB69" s="53">
        <f t="shared" si="40"/>
        <v>7.735667326122611</v>
      </c>
      <c r="AC69" s="53">
        <f t="shared" si="40"/>
        <v>7.8903806726450645</v>
      </c>
      <c r="AD69" s="53">
        <f t="shared" si="40"/>
        <v>8.0481882860979663</v>
      </c>
      <c r="AE69" s="53">
        <f t="shared" si="40"/>
        <v>8.2091520518199239</v>
      </c>
      <c r="AF69" s="53">
        <f t="shared" si="40"/>
        <v>8.3733350928563244</v>
      </c>
      <c r="AG69" s="53">
        <f t="shared" si="40"/>
        <v>8.5408017947134507</v>
      </c>
      <c r="AH69" s="54">
        <f t="shared" si="40"/>
        <v>8.7116178306077199</v>
      </c>
    </row>
    <row r="70" spans="1:34" x14ac:dyDescent="0.25">
      <c r="H70" t="s">
        <v>7</v>
      </c>
      <c r="I70" s="47">
        <f>+I45+I50+I55+I60+I65</f>
        <v>5.31</v>
      </c>
      <c r="J70" s="47">
        <f>+J45+J50+J55+J60+J65</f>
        <v>5.4161999999999999</v>
      </c>
      <c r="K70" s="47">
        <f t="shared" si="40"/>
        <v>5.5245239999999995</v>
      </c>
      <c r="L70" s="47">
        <f t="shared" si="40"/>
        <v>5.6350144800000006</v>
      </c>
      <c r="M70" s="47">
        <f t="shared" si="40"/>
        <v>5.7477147695999999</v>
      </c>
      <c r="N70" s="47">
        <f t="shared" si="40"/>
        <v>5.8626690649920006</v>
      </c>
      <c r="O70" s="47">
        <f t="shared" si="40"/>
        <v>5.9799224462918401</v>
      </c>
      <c r="P70" s="47">
        <f t="shared" si="40"/>
        <v>6.0995208952176778</v>
      </c>
      <c r="Q70" s="47">
        <f t="shared" si="40"/>
        <v>6.2215113131220319</v>
      </c>
      <c r="R70" s="47">
        <f t="shared" si="40"/>
        <v>6.3459415393844711</v>
      </c>
      <c r="S70" s="47">
        <f t="shared" si="40"/>
        <v>6.4728603701721612</v>
      </c>
      <c r="T70" s="47">
        <f t="shared" si="40"/>
        <v>6.6023175775756053</v>
      </c>
      <c r="U70" s="47">
        <f t="shared" si="40"/>
        <v>6.7343639291271167</v>
      </c>
      <c r="V70" s="47">
        <f t="shared" si="40"/>
        <v>6.869051207709659</v>
      </c>
      <c r="W70" s="47">
        <f t="shared" si="40"/>
        <v>7.0064322318638519</v>
      </c>
      <c r="X70" s="47">
        <f t="shared" si="40"/>
        <v>7.1465608765011295</v>
      </c>
      <c r="Y70" s="47">
        <f t="shared" si="40"/>
        <v>7.2894920940311518</v>
      </c>
      <c r="Z70" s="47">
        <f t="shared" si="40"/>
        <v>7.4352819359117746</v>
      </c>
      <c r="AA70" s="47">
        <f t="shared" si="40"/>
        <v>7.5839875746300116</v>
      </c>
      <c r="AB70" s="47">
        <f t="shared" si="40"/>
        <v>7.735667326122611</v>
      </c>
      <c r="AC70" s="47">
        <f t="shared" si="40"/>
        <v>7.8903806726450645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</row>
    <row r="71" spans="1:34" s="25" customFormat="1" x14ac:dyDescent="0.25">
      <c r="H71" s="25" t="s">
        <v>5</v>
      </c>
      <c r="I71" s="55">
        <f>+I46+I51+I56+I61+I66</f>
        <v>44.290000000000006</v>
      </c>
      <c r="J71" s="56">
        <f t="shared" ref="J71:AH72" si="41">+J46+J51+J56+J61+J66</f>
        <v>45.175800000000002</v>
      </c>
      <c r="K71" s="56">
        <f t="shared" si="41"/>
        <v>46.079315999999999</v>
      </c>
      <c r="L71" s="56">
        <f t="shared" si="41"/>
        <v>47.000902320000002</v>
      </c>
      <c r="M71" s="56">
        <f t="shared" si="41"/>
        <v>47.940920366400007</v>
      </c>
      <c r="N71" s="56">
        <f t="shared" si="41"/>
        <v>48.899738773728004</v>
      </c>
      <c r="O71" s="56">
        <f t="shared" si="41"/>
        <v>49.877733549202574</v>
      </c>
      <c r="P71" s="56">
        <f t="shared" si="41"/>
        <v>50.875288220186626</v>
      </c>
      <c r="Q71" s="56">
        <f t="shared" si="41"/>
        <v>51.892793984590355</v>
      </c>
      <c r="R71" s="56">
        <f t="shared" si="41"/>
        <v>52.930649864282167</v>
      </c>
      <c r="S71" s="56">
        <f t="shared" si="41"/>
        <v>53.989262861567802</v>
      </c>
      <c r="T71" s="56">
        <f t="shared" si="41"/>
        <v>55.069048118799174</v>
      </c>
      <c r="U71" s="56">
        <f t="shared" si="41"/>
        <v>56.170429081175158</v>
      </c>
      <c r="V71" s="56">
        <f t="shared" si="41"/>
        <v>57.293837662798651</v>
      </c>
      <c r="W71" s="56">
        <f t="shared" si="41"/>
        <v>58.43971441605462</v>
      </c>
      <c r="X71" s="56">
        <f t="shared" si="41"/>
        <v>59.608508704375716</v>
      </c>
      <c r="Y71" s="56">
        <f t="shared" si="41"/>
        <v>60.800678878463238</v>
      </c>
      <c r="Z71" s="56">
        <f t="shared" si="41"/>
        <v>62.016692456032494</v>
      </c>
      <c r="AA71" s="56">
        <f t="shared" si="41"/>
        <v>63.257026305153161</v>
      </c>
      <c r="AB71" s="56">
        <f t="shared" si="41"/>
        <v>64.522166831256214</v>
      </c>
      <c r="AC71" s="56">
        <f t="shared" si="41"/>
        <v>65.812610167881346</v>
      </c>
      <c r="AD71" s="56">
        <f t="shared" si="41"/>
        <v>67.128862371238981</v>
      </c>
      <c r="AE71" s="56">
        <f t="shared" si="41"/>
        <v>68.471439618663752</v>
      </c>
      <c r="AF71" s="56">
        <f t="shared" si="41"/>
        <v>69.840868411037036</v>
      </c>
      <c r="AG71" s="56">
        <f t="shared" si="41"/>
        <v>71.237685779257774</v>
      </c>
      <c r="AH71" s="57">
        <f t="shared" si="41"/>
        <v>72.662439494842943</v>
      </c>
    </row>
    <row r="72" spans="1:34" x14ac:dyDescent="0.25">
      <c r="H72" t="s">
        <v>25</v>
      </c>
      <c r="I72" s="48">
        <f>+I47+I52+I57+I62+I67</f>
        <v>44.285400000000003</v>
      </c>
      <c r="J72" s="48">
        <f>+J47+J52+J57+J62+J67</f>
        <v>45.171107999999997</v>
      </c>
      <c r="K72" s="48">
        <f t="shared" si="41"/>
        <v>46.074530159999995</v>
      </c>
      <c r="L72" s="48">
        <f t="shared" si="41"/>
        <v>46.996020763199994</v>
      </c>
      <c r="M72" s="48">
        <f t="shared" si="41"/>
        <v>47.935941178464006</v>
      </c>
      <c r="N72" s="48">
        <f t="shared" si="41"/>
        <v>48.894660002033284</v>
      </c>
      <c r="O72" s="48">
        <f t="shared" si="41"/>
        <v>49.872553202073952</v>
      </c>
      <c r="P72" s="48">
        <f t="shared" si="41"/>
        <v>50.87000426611543</v>
      </c>
      <c r="Q72" s="48">
        <f t="shared" si="41"/>
        <v>51.887404351437745</v>
      </c>
      <c r="R72" s="48">
        <f t="shared" si="41"/>
        <v>52.92515243846649</v>
      </c>
      <c r="S72" s="48">
        <f t="shared" si="41"/>
        <v>53.983655487235829</v>
      </c>
      <c r="T72" s="48">
        <f t="shared" si="41"/>
        <v>55.06332859698054</v>
      </c>
      <c r="U72" s="48">
        <f t="shared" si="41"/>
        <v>56.164595168920151</v>
      </c>
      <c r="V72" s="48">
        <f t="shared" si="41"/>
        <v>57.287887072298552</v>
      </c>
      <c r="W72" s="48">
        <f t="shared" si="41"/>
        <v>58.433644813744522</v>
      </c>
      <c r="X72" s="48">
        <f t="shared" si="41"/>
        <v>59.60231771001942</v>
      </c>
      <c r="Y72" s="48">
        <f t="shared" si="41"/>
        <v>60.794364064219806</v>
      </c>
      <c r="Z72" s="48">
        <f t="shared" si="41"/>
        <v>62.010251345504201</v>
      </c>
      <c r="AA72" s="48">
        <f t="shared" si="41"/>
        <v>63.250456372414291</v>
      </c>
      <c r="AB72" s="48">
        <f t="shared" si="41"/>
        <v>64.515465499862557</v>
      </c>
      <c r="AC72" s="48">
        <f t="shared" si="41"/>
        <v>65.805774809859827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</row>
    <row r="73" spans="1:34" ht="15.75" thickBot="1" x14ac:dyDescent="0.3"/>
    <row r="74" spans="1:34" ht="16.5" thickTop="1" thickBot="1" x14ac:dyDescent="0.3">
      <c r="A74" t="s">
        <v>46</v>
      </c>
      <c r="I74" t="s">
        <v>27</v>
      </c>
      <c r="J74" s="9">
        <f>VLOOKUP(A75,FieldMaintTable,2,FALSE)</f>
        <v>1.45</v>
      </c>
      <c r="K74" s="2">
        <f>+J74</f>
        <v>1.45</v>
      </c>
      <c r="L74" s="2">
        <f t="shared" ref="L74:AH74" si="42">+K74</f>
        <v>1.45</v>
      </c>
      <c r="M74" s="2">
        <f t="shared" si="42"/>
        <v>1.45</v>
      </c>
      <c r="N74" s="2">
        <f t="shared" si="42"/>
        <v>1.45</v>
      </c>
      <c r="O74" s="2">
        <f t="shared" si="42"/>
        <v>1.45</v>
      </c>
      <c r="P74" s="2">
        <f t="shared" si="42"/>
        <v>1.45</v>
      </c>
      <c r="Q74" s="2">
        <f t="shared" si="42"/>
        <v>1.45</v>
      </c>
      <c r="R74" s="2">
        <f t="shared" si="42"/>
        <v>1.45</v>
      </c>
      <c r="S74" s="2">
        <f t="shared" si="42"/>
        <v>1.45</v>
      </c>
      <c r="T74" s="2">
        <f t="shared" si="42"/>
        <v>1.45</v>
      </c>
      <c r="U74" s="2">
        <f t="shared" si="42"/>
        <v>1.45</v>
      </c>
      <c r="V74" s="2">
        <f t="shared" si="42"/>
        <v>1.45</v>
      </c>
      <c r="W74" s="2">
        <f t="shared" si="42"/>
        <v>1.45</v>
      </c>
      <c r="X74" s="2">
        <f t="shared" si="42"/>
        <v>1.45</v>
      </c>
      <c r="Y74" s="2">
        <f t="shared" si="42"/>
        <v>1.45</v>
      </c>
      <c r="Z74" s="2">
        <f t="shared" si="42"/>
        <v>1.45</v>
      </c>
      <c r="AA74" s="2">
        <f t="shared" si="42"/>
        <v>1.45</v>
      </c>
      <c r="AB74" s="2">
        <f t="shared" si="42"/>
        <v>1.45</v>
      </c>
      <c r="AC74" s="2">
        <f t="shared" si="42"/>
        <v>1.45</v>
      </c>
      <c r="AD74" s="2">
        <f t="shared" si="42"/>
        <v>1.45</v>
      </c>
      <c r="AE74" s="2">
        <f t="shared" si="42"/>
        <v>1.45</v>
      </c>
      <c r="AF74" s="2">
        <f t="shared" si="42"/>
        <v>1.45</v>
      </c>
      <c r="AG74" s="2">
        <f t="shared" si="42"/>
        <v>1.45</v>
      </c>
      <c r="AH74" s="2">
        <f t="shared" si="42"/>
        <v>1.45</v>
      </c>
    </row>
    <row r="75" spans="1:34" ht="16.5" thickTop="1" x14ac:dyDescent="0.25">
      <c r="A75" s="93" t="s">
        <v>117</v>
      </c>
      <c r="B75" s="93"/>
      <c r="C75" s="93"/>
      <c r="D75" s="93"/>
      <c r="E75" s="93"/>
      <c r="F75" s="93"/>
      <c r="H75" t="s">
        <v>3</v>
      </c>
      <c r="I75">
        <v>100</v>
      </c>
      <c r="J75">
        <v>100</v>
      </c>
      <c r="K75">
        <v>100</v>
      </c>
      <c r="L75">
        <v>100</v>
      </c>
      <c r="M75">
        <v>100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  <c r="W75">
        <v>100</v>
      </c>
      <c r="X75">
        <v>100</v>
      </c>
      <c r="Y75">
        <v>100</v>
      </c>
      <c r="Z75">
        <v>100</v>
      </c>
      <c r="AA75">
        <v>100</v>
      </c>
      <c r="AB75">
        <v>100</v>
      </c>
      <c r="AC75">
        <v>100</v>
      </c>
      <c r="AD75">
        <v>100</v>
      </c>
      <c r="AE75">
        <v>100</v>
      </c>
      <c r="AF75">
        <v>100</v>
      </c>
      <c r="AG75">
        <v>100</v>
      </c>
      <c r="AH75">
        <v>100</v>
      </c>
    </row>
    <row r="77" spans="1:34" x14ac:dyDescent="0.25">
      <c r="A77" s="25" t="s">
        <v>17</v>
      </c>
      <c r="H77" t="s">
        <v>6</v>
      </c>
      <c r="I77">
        <f>+I69*I75</f>
        <v>531</v>
      </c>
      <c r="J77" s="14">
        <f t="shared" ref="J77:AH78" si="43">+J69*J74</f>
        <v>7.8534899999999999</v>
      </c>
      <c r="K77" s="15">
        <f t="shared" si="43"/>
        <v>8.0105597999999993</v>
      </c>
      <c r="L77" s="15">
        <f t="shared" si="43"/>
        <v>8.1707709959999999</v>
      </c>
      <c r="M77" s="15">
        <f t="shared" si="43"/>
        <v>8.3341864159199996</v>
      </c>
      <c r="N77" s="15">
        <f t="shared" si="43"/>
        <v>8.5008701442383998</v>
      </c>
      <c r="O77" s="15">
        <f t="shared" si="43"/>
        <v>8.6708875471231686</v>
      </c>
      <c r="P77" s="15">
        <f t="shared" si="43"/>
        <v>8.8443052980656329</v>
      </c>
      <c r="Q77" s="15">
        <f t="shared" si="43"/>
        <v>9.0211914040269452</v>
      </c>
      <c r="R77" s="15">
        <f t="shared" si="43"/>
        <v>9.201615232107482</v>
      </c>
      <c r="S77" s="15">
        <f t="shared" si="43"/>
        <v>9.3856475367496337</v>
      </c>
      <c r="T77" s="15">
        <f t="shared" si="43"/>
        <v>9.5733604874846279</v>
      </c>
      <c r="U77" s="15">
        <f t="shared" si="43"/>
        <v>9.7648276972343186</v>
      </c>
      <c r="V77" s="15">
        <f t="shared" si="43"/>
        <v>9.9601242511790051</v>
      </c>
      <c r="W77" s="15">
        <f t="shared" si="43"/>
        <v>10.159326736202585</v>
      </c>
      <c r="X77" s="15">
        <f t="shared" si="43"/>
        <v>10.362513270926637</v>
      </c>
      <c r="Y77" s="15">
        <f t="shared" si="43"/>
        <v>10.569763536345169</v>
      </c>
      <c r="Z77" s="15">
        <f t="shared" si="43"/>
        <v>10.781158807072073</v>
      </c>
      <c r="AA77" s="15">
        <f t="shared" si="43"/>
        <v>10.996781983213516</v>
      </c>
      <c r="AB77" s="15">
        <f t="shared" si="43"/>
        <v>11.216717622877786</v>
      </c>
      <c r="AC77" s="15">
        <f t="shared" si="43"/>
        <v>11.441051975335343</v>
      </c>
      <c r="AD77" s="15">
        <f t="shared" si="43"/>
        <v>11.66987301484205</v>
      </c>
      <c r="AE77" s="15">
        <f t="shared" si="43"/>
        <v>11.903270475138889</v>
      </c>
      <c r="AF77" s="15">
        <f t="shared" si="43"/>
        <v>12.14133588464167</v>
      </c>
      <c r="AG77" s="15">
        <f t="shared" si="43"/>
        <v>12.384162602334504</v>
      </c>
      <c r="AH77" s="16">
        <f t="shared" si="43"/>
        <v>12.631845854381194</v>
      </c>
    </row>
    <row r="78" spans="1:34" x14ac:dyDescent="0.25">
      <c r="A78" s="25"/>
      <c r="H78" t="s">
        <v>7</v>
      </c>
      <c r="I78">
        <f>+I70*I75</f>
        <v>531</v>
      </c>
      <c r="J78" s="1">
        <f>+J70*J75</f>
        <v>541.62</v>
      </c>
      <c r="K78" s="1">
        <f t="shared" si="43"/>
        <v>552.4523999999999</v>
      </c>
      <c r="L78" s="1">
        <f t="shared" si="43"/>
        <v>563.5014480000001</v>
      </c>
      <c r="M78" s="1">
        <f t="shared" si="43"/>
        <v>574.77147695999997</v>
      </c>
      <c r="N78" s="1">
        <f t="shared" si="43"/>
        <v>586.2669064992001</v>
      </c>
      <c r="O78" s="1">
        <f t="shared" si="43"/>
        <v>597.99224462918403</v>
      </c>
      <c r="P78" s="1">
        <f t="shared" si="43"/>
        <v>609.95208952176779</v>
      </c>
      <c r="Q78" s="1">
        <f t="shared" si="43"/>
        <v>622.15113131220323</v>
      </c>
      <c r="R78" s="1">
        <f t="shared" si="43"/>
        <v>634.59415393844711</v>
      </c>
      <c r="S78" s="1">
        <f t="shared" si="43"/>
        <v>647.28603701721613</v>
      </c>
      <c r="T78" s="1">
        <f t="shared" si="43"/>
        <v>660.23175775756056</v>
      </c>
      <c r="U78" s="1">
        <f t="shared" si="43"/>
        <v>673.43639291271165</v>
      </c>
      <c r="V78" s="1">
        <f t="shared" si="43"/>
        <v>686.90512077096594</v>
      </c>
      <c r="W78" s="1">
        <f t="shared" si="43"/>
        <v>700.64322318638517</v>
      </c>
      <c r="X78" s="1">
        <f t="shared" si="43"/>
        <v>714.65608765011291</v>
      </c>
      <c r="Y78" s="1">
        <f t="shared" si="43"/>
        <v>728.94920940311522</v>
      </c>
      <c r="Z78" s="1">
        <f t="shared" si="43"/>
        <v>743.52819359117746</v>
      </c>
      <c r="AA78" s="1">
        <f t="shared" si="43"/>
        <v>758.39875746300117</v>
      </c>
      <c r="AB78" s="1">
        <f t="shared" si="43"/>
        <v>773.56673261226115</v>
      </c>
      <c r="AC78" s="1">
        <f t="shared" si="43"/>
        <v>789.03806726450648</v>
      </c>
      <c r="AD78">
        <v>0</v>
      </c>
      <c r="AE78">
        <v>0</v>
      </c>
      <c r="AF78">
        <v>0</v>
      </c>
      <c r="AG78">
        <v>0</v>
      </c>
      <c r="AH78">
        <v>0</v>
      </c>
    </row>
    <row r="79" spans="1:34" x14ac:dyDescent="0.25">
      <c r="A79" s="25"/>
      <c r="H79" t="s">
        <v>5</v>
      </c>
      <c r="I79" s="3">
        <f>+I71*I75</f>
        <v>4429.0000000000009</v>
      </c>
      <c r="J79" s="14">
        <f>+J71*J74</f>
        <v>65.504909999999995</v>
      </c>
      <c r="K79" s="15">
        <f t="shared" ref="K79:AH80" si="44">+K71*K74</f>
        <v>66.815008199999994</v>
      </c>
      <c r="L79" s="15">
        <f t="shared" si="44"/>
        <v>68.151308364000002</v>
      </c>
      <c r="M79" s="15">
        <f t="shared" si="44"/>
        <v>69.514334531280014</v>
      </c>
      <c r="N79" s="15">
        <f t="shared" si="44"/>
        <v>70.9046212219056</v>
      </c>
      <c r="O79" s="15">
        <f t="shared" si="44"/>
        <v>72.322713646343729</v>
      </c>
      <c r="P79" s="15">
        <f t="shared" si="44"/>
        <v>73.7691679192706</v>
      </c>
      <c r="Q79" s="15">
        <f t="shared" si="44"/>
        <v>75.244551277656015</v>
      </c>
      <c r="R79" s="15">
        <f t="shared" si="44"/>
        <v>76.749442303209136</v>
      </c>
      <c r="S79" s="15">
        <f t="shared" si="44"/>
        <v>78.284431149273317</v>
      </c>
      <c r="T79" s="15">
        <f t="shared" si="44"/>
        <v>79.850119772258793</v>
      </c>
      <c r="U79" s="15">
        <f t="shared" si="44"/>
        <v>81.447122167703981</v>
      </c>
      <c r="V79" s="15">
        <f t="shared" si="44"/>
        <v>83.076064611058044</v>
      </c>
      <c r="W79" s="15">
        <f t="shared" si="44"/>
        <v>84.737585903279196</v>
      </c>
      <c r="X79" s="15">
        <f t="shared" si="44"/>
        <v>86.432337621344786</v>
      </c>
      <c r="Y79" s="15">
        <f t="shared" si="44"/>
        <v>88.160984373771697</v>
      </c>
      <c r="Z79" s="15">
        <f t="shared" si="44"/>
        <v>89.92420406124711</v>
      </c>
      <c r="AA79" s="15">
        <f t="shared" si="44"/>
        <v>91.72268814247208</v>
      </c>
      <c r="AB79" s="15">
        <f t="shared" si="44"/>
        <v>93.557141905321501</v>
      </c>
      <c r="AC79" s="15">
        <f t="shared" si="44"/>
        <v>95.428284743427952</v>
      </c>
      <c r="AD79" s="15">
        <f t="shared" si="44"/>
        <v>97.336850438296523</v>
      </c>
      <c r="AE79" s="15">
        <f t="shared" si="44"/>
        <v>99.28358744706243</v>
      </c>
      <c r="AF79" s="15">
        <f t="shared" si="44"/>
        <v>101.2692591960037</v>
      </c>
      <c r="AG79" s="15">
        <f t="shared" si="44"/>
        <v>103.29464437992377</v>
      </c>
      <c r="AH79" s="16">
        <f t="shared" si="44"/>
        <v>105.36053726752226</v>
      </c>
    </row>
    <row r="80" spans="1:34" x14ac:dyDescent="0.25">
      <c r="A80" s="25"/>
      <c r="H80" t="s">
        <v>25</v>
      </c>
      <c r="I80">
        <f>+I72*I75</f>
        <v>4428.54</v>
      </c>
      <c r="J80" s="1">
        <f>+J72*J75</f>
        <v>4517.1107999999995</v>
      </c>
      <c r="K80" s="1">
        <f t="shared" si="44"/>
        <v>4607.4530159999995</v>
      </c>
      <c r="L80" s="1">
        <f t="shared" si="44"/>
        <v>4699.6020763199995</v>
      </c>
      <c r="M80" s="1">
        <f t="shared" si="44"/>
        <v>4793.5941178464009</v>
      </c>
      <c r="N80" s="1">
        <f t="shared" si="44"/>
        <v>4889.4660002033288</v>
      </c>
      <c r="O80" s="1">
        <f t="shared" si="44"/>
        <v>4987.255320207395</v>
      </c>
      <c r="P80" s="1">
        <f t="shared" si="44"/>
        <v>5087.0004266115429</v>
      </c>
      <c r="Q80" s="1">
        <f t="shared" si="44"/>
        <v>5188.7404351437744</v>
      </c>
      <c r="R80" s="1">
        <f t="shared" si="44"/>
        <v>5292.5152438466494</v>
      </c>
      <c r="S80" s="1">
        <f t="shared" si="44"/>
        <v>5398.3655487235828</v>
      </c>
      <c r="T80" s="1">
        <f t="shared" si="44"/>
        <v>5506.3328596980537</v>
      </c>
      <c r="U80" s="1">
        <f t="shared" si="44"/>
        <v>5616.459516892015</v>
      </c>
      <c r="V80" s="1">
        <f t="shared" si="44"/>
        <v>5728.7887072298554</v>
      </c>
      <c r="W80" s="1">
        <f t="shared" si="44"/>
        <v>5843.3644813744522</v>
      </c>
      <c r="X80" s="1">
        <f t="shared" si="44"/>
        <v>5960.2317710019424</v>
      </c>
      <c r="Y80" s="1">
        <f t="shared" si="44"/>
        <v>6079.4364064219808</v>
      </c>
      <c r="Z80" s="1">
        <f t="shared" si="44"/>
        <v>6201.0251345504203</v>
      </c>
      <c r="AA80" s="1">
        <f t="shared" si="44"/>
        <v>6325.0456372414292</v>
      </c>
      <c r="AB80" s="1">
        <f t="shared" si="44"/>
        <v>6451.5465499862557</v>
      </c>
      <c r="AC80" s="1">
        <f t="shared" si="44"/>
        <v>6580.5774809859831</v>
      </c>
      <c r="AD80">
        <v>0</v>
      </c>
      <c r="AE80">
        <v>0</v>
      </c>
      <c r="AF80">
        <v>0</v>
      </c>
      <c r="AG80">
        <v>0</v>
      </c>
      <c r="AH80">
        <v>0</v>
      </c>
    </row>
    <row r="81" spans="1:34" x14ac:dyDescent="0.25">
      <c r="A81" s="25"/>
    </row>
    <row r="82" spans="1:34" x14ac:dyDescent="0.25">
      <c r="A82" s="25" t="s">
        <v>16</v>
      </c>
      <c r="H82" t="s">
        <v>6</v>
      </c>
      <c r="I82" s="19">
        <f>+I38+I77</f>
        <v>533.29</v>
      </c>
      <c r="J82" s="15">
        <f t="shared" ref="J82:AH83" si="45">+J38+J77</f>
        <v>10.18929</v>
      </c>
      <c r="K82" s="15">
        <f t="shared" si="45"/>
        <v>10.393075799999998</v>
      </c>
      <c r="L82" s="15">
        <f t="shared" si="45"/>
        <v>10.600937316</v>
      </c>
      <c r="M82" s="15">
        <f t="shared" si="45"/>
        <v>10.81295606232</v>
      </c>
      <c r="N82" s="15">
        <f t="shared" si="45"/>
        <v>11.0292151835664</v>
      </c>
      <c r="O82" s="15">
        <f t="shared" si="45"/>
        <v>11.249799487237729</v>
      </c>
      <c r="P82" s="15">
        <f t="shared" si="45"/>
        <v>11.474795476982484</v>
      </c>
      <c r="Q82" s="15">
        <f t="shared" si="45"/>
        <v>11.704291386522133</v>
      </c>
      <c r="R82" s="15">
        <f t="shared" si="45"/>
        <v>11.938377214252574</v>
      </c>
      <c r="S82" s="15">
        <f t="shared" si="45"/>
        <v>12.177144758537628</v>
      </c>
      <c r="T82" s="15">
        <f t="shared" si="45"/>
        <v>12.420687653708381</v>
      </c>
      <c r="U82" s="15">
        <f t="shared" si="45"/>
        <v>12.669101406782548</v>
      </c>
      <c r="V82" s="15">
        <f t="shared" si="45"/>
        <v>12.922483434918199</v>
      </c>
      <c r="W82" s="15">
        <f t="shared" si="45"/>
        <v>13.180933103616564</v>
      </c>
      <c r="X82" s="15">
        <f t="shared" si="45"/>
        <v>13.444551765688896</v>
      </c>
      <c r="Y82" s="15">
        <f t="shared" si="45"/>
        <v>13.713442801002671</v>
      </c>
      <c r="Z82" s="15">
        <f t="shared" si="45"/>
        <v>13.987711657022725</v>
      </c>
      <c r="AA82" s="15">
        <f t="shared" si="45"/>
        <v>14.267465890163182</v>
      </c>
      <c r="AB82" s="15">
        <f t="shared" si="45"/>
        <v>14.552815207966445</v>
      </c>
      <c r="AC82" s="15">
        <f t="shared" si="45"/>
        <v>14.843871512125776</v>
      </c>
      <c r="AD82" s="15">
        <f t="shared" si="45"/>
        <v>15.14074894236829</v>
      </c>
      <c r="AE82" s="15">
        <f t="shared" si="45"/>
        <v>15.443563921215656</v>
      </c>
      <c r="AF82" s="15">
        <f t="shared" si="45"/>
        <v>15.752435199639972</v>
      </c>
      <c r="AG82" s="15">
        <f t="shared" si="45"/>
        <v>16.06748390363277</v>
      </c>
      <c r="AH82" s="16">
        <f t="shared" si="45"/>
        <v>16.388833581705427</v>
      </c>
    </row>
    <row r="83" spans="1:34" x14ac:dyDescent="0.25">
      <c r="A83" s="25"/>
      <c r="H83" t="s">
        <v>7</v>
      </c>
      <c r="I83">
        <f>+I39+I78</f>
        <v>531.86599999999999</v>
      </c>
      <c r="J83">
        <f>+J39+J78</f>
        <v>542.50332000000003</v>
      </c>
      <c r="K83" s="1">
        <f t="shared" si="45"/>
        <v>553.35338639999986</v>
      </c>
      <c r="L83" s="1">
        <f t="shared" si="45"/>
        <v>564.42045412800007</v>
      </c>
      <c r="M83" s="1">
        <f t="shared" si="45"/>
        <v>575.70886321056003</v>
      </c>
      <c r="N83" s="1">
        <f t="shared" si="45"/>
        <v>587.22304047477132</v>
      </c>
      <c r="O83" s="1">
        <f t="shared" si="45"/>
        <v>598.96750128426663</v>
      </c>
      <c r="P83" s="1">
        <f t="shared" si="45"/>
        <v>610.94685130995208</v>
      </c>
      <c r="Q83" s="1">
        <f t="shared" si="45"/>
        <v>623.16578833615119</v>
      </c>
      <c r="R83" s="1">
        <f t="shared" si="45"/>
        <v>635.62910410287407</v>
      </c>
      <c r="S83" s="1">
        <f t="shared" si="45"/>
        <v>648.34168618493163</v>
      </c>
      <c r="T83" s="1">
        <f t="shared" si="45"/>
        <v>661.30851990863027</v>
      </c>
      <c r="U83" s="1">
        <f t="shared" si="45"/>
        <v>674.53469030680287</v>
      </c>
      <c r="V83" s="1">
        <f t="shared" si="45"/>
        <v>688.02538411293892</v>
      </c>
      <c r="W83" s="1">
        <f t="shared" si="45"/>
        <v>701.78589179519759</v>
      </c>
      <c r="X83" s="1">
        <f t="shared" si="45"/>
        <v>715.82160963110164</v>
      </c>
      <c r="Y83" s="1">
        <f t="shared" si="45"/>
        <v>730.13804182372371</v>
      </c>
      <c r="Z83" s="1">
        <f t="shared" si="45"/>
        <v>744.74080266019814</v>
      </c>
      <c r="AA83" s="1">
        <f t="shared" si="45"/>
        <v>759.63561871340221</v>
      </c>
      <c r="AB83" s="1">
        <f t="shared" si="45"/>
        <v>774.82833108767022</v>
      </c>
      <c r="AC83" s="1">
        <f t="shared" si="45"/>
        <v>790.32489770942368</v>
      </c>
      <c r="AD83">
        <v>0</v>
      </c>
      <c r="AE83">
        <v>0</v>
      </c>
      <c r="AF83">
        <v>0</v>
      </c>
      <c r="AG83">
        <v>0</v>
      </c>
      <c r="AH83">
        <v>0</v>
      </c>
    </row>
    <row r="84" spans="1:34" x14ac:dyDescent="0.25">
      <c r="A84" s="25"/>
      <c r="H84" t="s">
        <v>5</v>
      </c>
      <c r="I84" s="1">
        <f>+I40+I79</f>
        <v>4448.0900000000011</v>
      </c>
      <c r="J84" s="14">
        <f t="shared" ref="J84:AH85" si="46">+J40+J79</f>
        <v>84.976709999999997</v>
      </c>
      <c r="K84" s="15">
        <f t="shared" si="46"/>
        <v>86.676244199999985</v>
      </c>
      <c r="L84" s="15">
        <f t="shared" si="46"/>
        <v>88.409769084000004</v>
      </c>
      <c r="M84" s="15">
        <f t="shared" si="46"/>
        <v>90.17796446568002</v>
      </c>
      <c r="N84" s="15">
        <f t="shared" si="46"/>
        <v>91.981523754993603</v>
      </c>
      <c r="O84" s="15">
        <f t="shared" si="46"/>
        <v>93.821154230093498</v>
      </c>
      <c r="P84" s="15">
        <f t="shared" si="46"/>
        <v>95.697577314695351</v>
      </c>
      <c r="Q84" s="15">
        <f t="shared" si="46"/>
        <v>97.611528860989267</v>
      </c>
      <c r="R84" s="15">
        <f t="shared" si="46"/>
        <v>99.563759438209047</v>
      </c>
      <c r="S84" s="15">
        <f t="shared" si="46"/>
        <v>101.55503462697322</v>
      </c>
      <c r="T84" s="15">
        <f t="shared" si="46"/>
        <v>103.58613531951271</v>
      </c>
      <c r="U84" s="15">
        <f t="shared" si="46"/>
        <v>105.65785802590298</v>
      </c>
      <c r="V84" s="15">
        <f t="shared" si="46"/>
        <v>107.77101518642101</v>
      </c>
      <c r="W84" s="15">
        <f t="shared" si="46"/>
        <v>109.92643549014943</v>
      </c>
      <c r="X84" s="15">
        <f t="shared" si="46"/>
        <v>112.12496419995242</v>
      </c>
      <c r="Y84" s="15">
        <f t="shared" si="46"/>
        <v>114.36746348395148</v>
      </c>
      <c r="Z84" s="15">
        <f t="shared" si="46"/>
        <v>116.65481275363049</v>
      </c>
      <c r="AA84" s="15">
        <f t="shared" si="46"/>
        <v>118.98790900870313</v>
      </c>
      <c r="AB84" s="15">
        <f t="shared" si="46"/>
        <v>121.36766718887718</v>
      </c>
      <c r="AC84" s="15">
        <f t="shared" si="46"/>
        <v>123.79502053265475</v>
      </c>
      <c r="AD84" s="15">
        <f t="shared" si="46"/>
        <v>126.27092094330786</v>
      </c>
      <c r="AE84" s="15">
        <f t="shared" si="46"/>
        <v>128.796339362174</v>
      </c>
      <c r="AF84" s="15">
        <f t="shared" si="46"/>
        <v>131.3722661494175</v>
      </c>
      <c r="AG84" s="15">
        <f t="shared" si="46"/>
        <v>133.99971147240583</v>
      </c>
      <c r="AH84" s="16">
        <f t="shared" si="46"/>
        <v>136.67970570185398</v>
      </c>
    </row>
    <row r="85" spans="1:34" x14ac:dyDescent="0.25">
      <c r="A85" s="25"/>
      <c r="H85" t="s">
        <v>25</v>
      </c>
      <c r="I85" s="1">
        <f>+I41+I80</f>
        <v>4435.7624399999995</v>
      </c>
      <c r="J85" s="1">
        <f>+J41+J80</f>
        <v>4524.4776887999997</v>
      </c>
      <c r="K85" s="1">
        <f t="shared" si="46"/>
        <v>4614.9672425759991</v>
      </c>
      <c r="L85" s="1">
        <f t="shared" si="46"/>
        <v>4707.2665874275199</v>
      </c>
      <c r="M85" s="1">
        <f t="shared" si="46"/>
        <v>4801.411919176071</v>
      </c>
      <c r="N85" s="1">
        <f t="shared" si="46"/>
        <v>4897.440157559593</v>
      </c>
      <c r="O85" s="1">
        <f t="shared" si="46"/>
        <v>4995.388960710784</v>
      </c>
      <c r="P85" s="1">
        <f t="shared" si="46"/>
        <v>5095.2967399250001</v>
      </c>
      <c r="Q85" s="1">
        <f t="shared" si="46"/>
        <v>5197.2026747235004</v>
      </c>
      <c r="R85" s="1">
        <f t="shared" si="46"/>
        <v>5301.1467282179701</v>
      </c>
      <c r="S85" s="1">
        <f t="shared" si="46"/>
        <v>5407.1696627823294</v>
      </c>
      <c r="T85" s="1">
        <f t="shared" si="46"/>
        <v>5515.3130560379759</v>
      </c>
      <c r="U85" s="1">
        <f t="shared" si="46"/>
        <v>5625.6193171587356</v>
      </c>
      <c r="V85" s="1">
        <f t="shared" si="46"/>
        <v>5738.1317035019101</v>
      </c>
      <c r="W85" s="1">
        <f t="shared" si="46"/>
        <v>5852.8943375719482</v>
      </c>
      <c r="X85" s="1">
        <f t="shared" si="46"/>
        <v>5969.9522243233878</v>
      </c>
      <c r="Y85" s="1">
        <f t="shared" si="46"/>
        <v>6089.3512688098554</v>
      </c>
      <c r="Z85" s="1">
        <f t="shared" si="46"/>
        <v>6211.138294186052</v>
      </c>
      <c r="AA85" s="1">
        <f t="shared" si="46"/>
        <v>6335.3610600697739</v>
      </c>
      <c r="AB85" s="1">
        <f t="shared" si="46"/>
        <v>6462.0682812711675</v>
      </c>
      <c r="AC85" s="1">
        <f t="shared" si="46"/>
        <v>6591.3096468965932</v>
      </c>
      <c r="AD85">
        <v>0</v>
      </c>
      <c r="AE85">
        <v>0</v>
      </c>
      <c r="AF85">
        <v>0</v>
      </c>
      <c r="AG85">
        <v>0</v>
      </c>
      <c r="AH85">
        <v>0</v>
      </c>
    </row>
    <row r="86" spans="1:34" x14ac:dyDescent="0.25">
      <c r="A86" s="25"/>
    </row>
    <row r="87" spans="1:34" x14ac:dyDescent="0.25">
      <c r="A87" s="25" t="s">
        <v>83</v>
      </c>
      <c r="H87" t="s">
        <v>47</v>
      </c>
      <c r="I87" s="3"/>
      <c r="J87" s="14">
        <f>+J82*J7</f>
        <v>1410.4015218000002</v>
      </c>
      <c r="K87" s="15">
        <f t="shared" ref="K87:AH90" si="47">+K82*K7</f>
        <v>1438.6095522359999</v>
      </c>
      <c r="L87" s="15">
        <f t="shared" si="47"/>
        <v>1467.38174328072</v>
      </c>
      <c r="M87" s="15">
        <f t="shared" si="47"/>
        <v>1496.7293781463345</v>
      </c>
      <c r="N87" s="15">
        <f t="shared" si="47"/>
        <v>1526.6639657092612</v>
      </c>
      <c r="O87" s="15">
        <f t="shared" si="47"/>
        <v>1557.1972450234466</v>
      </c>
      <c r="P87" s="15">
        <f t="shared" si="47"/>
        <v>1588.3411899239156</v>
      </c>
      <c r="Q87" s="15">
        <f t="shared" si="47"/>
        <v>1620.1080137223939</v>
      </c>
      <c r="R87" s="15">
        <f t="shared" si="47"/>
        <v>1652.5101739968416</v>
      </c>
      <c r="S87" s="15">
        <f t="shared" si="47"/>
        <v>1685.5603774767785</v>
      </c>
      <c r="T87" s="15">
        <f t="shared" si="47"/>
        <v>1719.2715850263144</v>
      </c>
      <c r="U87" s="15">
        <f t="shared" si="47"/>
        <v>1753.6570167268405</v>
      </c>
      <c r="V87" s="15">
        <f t="shared" si="47"/>
        <v>1788.7301570613772</v>
      </c>
      <c r="W87" s="15">
        <f t="shared" si="47"/>
        <v>1824.504760202605</v>
      </c>
      <c r="X87" s="15">
        <f t="shared" si="47"/>
        <v>1860.9948554066573</v>
      </c>
      <c r="Y87" s="15">
        <f t="shared" si="47"/>
        <v>1898.21475251479</v>
      </c>
      <c r="Z87" s="15">
        <f t="shared" si="47"/>
        <v>1936.1790475650857</v>
      </c>
      <c r="AA87" s="15">
        <f t="shared" si="47"/>
        <v>1974.9026285163879</v>
      </c>
      <c r="AB87" s="15">
        <f t="shared" si="47"/>
        <v>2014.4006810867156</v>
      </c>
      <c r="AC87" s="15">
        <f t="shared" si="47"/>
        <v>2054.6886947084504</v>
      </c>
      <c r="AD87" s="15">
        <f t="shared" si="47"/>
        <v>0</v>
      </c>
      <c r="AE87" s="15">
        <f t="shared" si="47"/>
        <v>0</v>
      </c>
      <c r="AF87" s="15">
        <f t="shared" si="47"/>
        <v>0</v>
      </c>
      <c r="AG87" s="15">
        <f t="shared" si="47"/>
        <v>0</v>
      </c>
      <c r="AH87" s="16">
        <f t="shared" si="47"/>
        <v>0</v>
      </c>
    </row>
    <row r="88" spans="1:34" x14ac:dyDescent="0.25">
      <c r="H88" t="s">
        <v>48</v>
      </c>
      <c r="I88">
        <v>73818</v>
      </c>
      <c r="J88" s="1">
        <f>+J83*J8</f>
        <v>75093.30955440001</v>
      </c>
      <c r="K88" s="1">
        <f t="shared" si="47"/>
        <v>76595.175745487984</v>
      </c>
      <c r="L88" s="1">
        <f t="shared" si="47"/>
        <v>78127.079260397775</v>
      </c>
      <c r="M88" s="1">
        <f t="shared" si="47"/>
        <v>79689.620845605721</v>
      </c>
      <c r="N88" s="1">
        <f t="shared" si="47"/>
        <v>81283.413262517861</v>
      </c>
      <c r="O88" s="1">
        <f t="shared" si="47"/>
        <v>82909.081527768198</v>
      </c>
      <c r="P88" s="1">
        <f t="shared" si="47"/>
        <v>84567.263158323578</v>
      </c>
      <c r="Q88" s="1">
        <f t="shared" si="47"/>
        <v>86258.608421490062</v>
      </c>
      <c r="R88" s="1">
        <f t="shared" si="47"/>
        <v>87983.780589919843</v>
      </c>
      <c r="S88" s="1">
        <f t="shared" si="47"/>
        <v>89743.456201718247</v>
      </c>
      <c r="T88" s="1">
        <f t="shared" si="47"/>
        <v>91538.325325752608</v>
      </c>
      <c r="U88" s="1">
        <f t="shared" si="47"/>
        <v>93369.091832267659</v>
      </c>
      <c r="V88" s="1">
        <f t="shared" si="47"/>
        <v>95236.473668913022</v>
      </c>
      <c r="W88" s="1">
        <f t="shared" si="47"/>
        <v>97141.203142291255</v>
      </c>
      <c r="X88" s="1">
        <f t="shared" si="47"/>
        <v>99084.027205137099</v>
      </c>
      <c r="Y88" s="1">
        <f t="shared" si="47"/>
        <v>101065.70774923985</v>
      </c>
      <c r="Z88" s="1">
        <f t="shared" si="47"/>
        <v>103087.02190422463</v>
      </c>
      <c r="AA88" s="1">
        <f t="shared" si="47"/>
        <v>105148.76234230914</v>
      </c>
      <c r="AB88" s="1">
        <f t="shared" si="47"/>
        <v>107251.73758915532</v>
      </c>
      <c r="AC88" s="1">
        <f t="shared" si="47"/>
        <v>109396.77234093843</v>
      </c>
      <c r="AD88">
        <v>0</v>
      </c>
      <c r="AE88">
        <v>0</v>
      </c>
      <c r="AF88">
        <v>0</v>
      </c>
      <c r="AG88">
        <v>0</v>
      </c>
      <c r="AH88">
        <v>0</v>
      </c>
    </row>
    <row r="89" spans="1:34" x14ac:dyDescent="0.25">
      <c r="H89" t="s">
        <v>49</v>
      </c>
      <c r="I89" s="3"/>
      <c r="J89" s="14">
        <f>+J84*J9</f>
        <v>1092.8004905999999</v>
      </c>
      <c r="K89" s="15">
        <f t="shared" si="47"/>
        <v>1114.6565004119998</v>
      </c>
      <c r="L89" s="15">
        <f t="shared" si="47"/>
        <v>1136.9496304202401</v>
      </c>
      <c r="M89" s="15">
        <f t="shared" si="47"/>
        <v>1159.688623028645</v>
      </c>
      <c r="N89" s="15">
        <f t="shared" si="47"/>
        <v>1182.8823954892177</v>
      </c>
      <c r="O89" s="15">
        <f t="shared" si="47"/>
        <v>1206.5400433990023</v>
      </c>
      <c r="P89" s="15">
        <f t="shared" si="47"/>
        <v>1230.6708442669822</v>
      </c>
      <c r="Q89" s="15">
        <f t="shared" si="47"/>
        <v>1255.284261152322</v>
      </c>
      <c r="R89" s="15">
        <f t="shared" si="47"/>
        <v>1280.3899463753683</v>
      </c>
      <c r="S89" s="15">
        <f t="shared" si="47"/>
        <v>1305.9977453028755</v>
      </c>
      <c r="T89" s="15">
        <f t="shared" si="47"/>
        <v>1332.1177002089335</v>
      </c>
      <c r="U89" s="15">
        <f t="shared" si="47"/>
        <v>1358.7600542131122</v>
      </c>
      <c r="V89" s="15">
        <f t="shared" si="47"/>
        <v>1385.9352552973742</v>
      </c>
      <c r="W89" s="15">
        <f t="shared" si="47"/>
        <v>1413.6539604033217</v>
      </c>
      <c r="X89" s="15">
        <f t="shared" si="47"/>
        <v>1441.927039611388</v>
      </c>
      <c r="Y89" s="15">
        <f t="shared" si="47"/>
        <v>1470.765580403616</v>
      </c>
      <c r="Z89" s="15">
        <f t="shared" si="47"/>
        <v>1500.180892011688</v>
      </c>
      <c r="AA89" s="15">
        <f t="shared" si="47"/>
        <v>1530.1845098519223</v>
      </c>
      <c r="AB89" s="15">
        <f t="shared" si="47"/>
        <v>1560.7882000489603</v>
      </c>
      <c r="AC89" s="15">
        <f t="shared" si="47"/>
        <v>1592.0039640499399</v>
      </c>
      <c r="AD89" s="15">
        <f t="shared" si="47"/>
        <v>0</v>
      </c>
      <c r="AE89" s="15">
        <f t="shared" si="47"/>
        <v>0</v>
      </c>
      <c r="AF89" s="15">
        <f t="shared" si="47"/>
        <v>0</v>
      </c>
      <c r="AG89" s="15">
        <f t="shared" si="47"/>
        <v>0</v>
      </c>
      <c r="AH89" s="16">
        <f t="shared" si="47"/>
        <v>0</v>
      </c>
    </row>
    <row r="90" spans="1:34" x14ac:dyDescent="0.25">
      <c r="H90" t="s">
        <v>50</v>
      </c>
      <c r="I90">
        <v>57193.15</v>
      </c>
      <c r="J90" s="1">
        <f>+J85*J10</f>
        <v>58181.244936415358</v>
      </c>
      <c r="K90" s="1">
        <f t="shared" si="47"/>
        <v>59344.869835143654</v>
      </c>
      <c r="L90" s="1">
        <f t="shared" si="47"/>
        <v>60531.767231846541</v>
      </c>
      <c r="M90" s="1">
        <f t="shared" si="47"/>
        <v>61742.402576483481</v>
      </c>
      <c r="N90" s="1">
        <f t="shared" si="47"/>
        <v>62977.250628013157</v>
      </c>
      <c r="O90" s="1">
        <f t="shared" si="47"/>
        <v>64236.795640573408</v>
      </c>
      <c r="P90" s="1">
        <f t="shared" si="47"/>
        <v>65521.531553384884</v>
      </c>
      <c r="Q90" s="1">
        <f t="shared" si="47"/>
        <v>66831.962184452583</v>
      </c>
      <c r="R90" s="1">
        <f t="shared" si="47"/>
        <v>68168.601428141628</v>
      </c>
      <c r="S90" s="1">
        <f t="shared" si="47"/>
        <v>69531.973456704465</v>
      </c>
      <c r="T90" s="1">
        <f t="shared" si="47"/>
        <v>70922.612925838548</v>
      </c>
      <c r="U90" s="1">
        <f t="shared" si="47"/>
        <v>72341.065184355321</v>
      </c>
      <c r="V90" s="1">
        <f t="shared" si="47"/>
        <v>73787.886488042423</v>
      </c>
      <c r="W90" s="1">
        <f t="shared" si="47"/>
        <v>75263.644217803274</v>
      </c>
      <c r="X90" s="1">
        <f t="shared" si="47"/>
        <v>76768.91710215935</v>
      </c>
      <c r="Y90" s="1">
        <f t="shared" si="47"/>
        <v>78304.295444202537</v>
      </c>
      <c r="Z90" s="1">
        <f t="shared" si="47"/>
        <v>79870.381353086574</v>
      </c>
      <c r="AA90" s="1">
        <f t="shared" si="47"/>
        <v>81467.788980148325</v>
      </c>
      <c r="AB90" s="1">
        <f t="shared" si="47"/>
        <v>83097.14475975126</v>
      </c>
      <c r="AC90" s="1">
        <f t="shared" si="47"/>
        <v>84759.087654946314</v>
      </c>
      <c r="AD90">
        <v>0</v>
      </c>
      <c r="AE90">
        <v>0</v>
      </c>
      <c r="AF90">
        <v>0</v>
      </c>
      <c r="AG90">
        <v>0</v>
      </c>
      <c r="AH90">
        <v>0</v>
      </c>
    </row>
    <row r="92" spans="1:34" ht="15.75" x14ac:dyDescent="0.25">
      <c r="H92" t="s">
        <v>53</v>
      </c>
      <c r="J92" s="24">
        <v>3</v>
      </c>
      <c r="K92" s="24">
        <v>3</v>
      </c>
      <c r="L92" s="24">
        <v>3</v>
      </c>
      <c r="M92" s="24">
        <v>3</v>
      </c>
      <c r="N92" s="24">
        <v>3</v>
      </c>
      <c r="O92" s="24">
        <v>3</v>
      </c>
      <c r="P92" s="24">
        <v>3</v>
      </c>
      <c r="Q92" s="24">
        <v>3</v>
      </c>
      <c r="R92" s="24">
        <v>3</v>
      </c>
      <c r="S92" s="24">
        <v>3</v>
      </c>
      <c r="T92" s="24">
        <v>3</v>
      </c>
      <c r="U92" s="24">
        <v>3</v>
      </c>
      <c r="V92" s="24">
        <v>3</v>
      </c>
      <c r="W92" s="24">
        <v>3</v>
      </c>
      <c r="X92" s="24">
        <v>3</v>
      </c>
      <c r="Y92" s="24">
        <v>3</v>
      </c>
      <c r="Z92" s="24">
        <v>3</v>
      </c>
      <c r="AA92" s="24">
        <v>3</v>
      </c>
      <c r="AB92" s="24">
        <v>3</v>
      </c>
      <c r="AC92" s="24">
        <v>3</v>
      </c>
      <c r="AD92" s="24">
        <v>3</v>
      </c>
      <c r="AE92" s="24">
        <v>3</v>
      </c>
      <c r="AF92" s="24">
        <v>3</v>
      </c>
      <c r="AG92" s="24">
        <v>3</v>
      </c>
      <c r="AH92" s="24">
        <v>3</v>
      </c>
    </row>
    <row r="93" spans="1:34" x14ac:dyDescent="0.25">
      <c r="H93" t="s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3</v>
      </c>
      <c r="Q93">
        <v>3</v>
      </c>
      <c r="R93">
        <v>3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3</v>
      </c>
      <c r="AA93">
        <v>3</v>
      </c>
      <c r="AB93">
        <v>3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3</v>
      </c>
    </row>
    <row r="95" spans="1:34" s="25" customFormat="1" x14ac:dyDescent="0.25">
      <c r="A95" s="25" t="s">
        <v>82</v>
      </c>
      <c r="H95" s="59" t="s">
        <v>47</v>
      </c>
      <c r="I95" s="58"/>
      <c r="J95" s="52">
        <f>+J87/(1+J92/100)</f>
        <v>1369.3218658252429</v>
      </c>
      <c r="K95" s="53">
        <f>+K87/POWER((1+K92/100),2)</f>
        <v>1356.0274787783956</v>
      </c>
      <c r="L95" s="53">
        <f>+L87/POWER((1+L92/100),3)</f>
        <v>1342.86216345045</v>
      </c>
      <c r="M95" s="53">
        <f>+M87/POWER((1+M92/100),4)</f>
        <v>1329.8246667179217</v>
      </c>
      <c r="N95" s="53">
        <f>+N87/POWER((1+N92/100),5)</f>
        <v>1316.913747623573</v>
      </c>
      <c r="O95" s="53">
        <f>+O87/POWER((1+O92/100),6)</f>
        <v>1304.1281772582956</v>
      </c>
      <c r="P95" s="53">
        <f>+P87/POWER((1+P92/100),7)</f>
        <v>1291.4667386441374</v>
      </c>
      <c r="Q95" s="53">
        <f>+Q87/POWER((1+Q92/100),8)</f>
        <v>1278.9282266184664</v>
      </c>
      <c r="R95" s="53">
        <f>+R87/POWER((1+R92/100),9)</f>
        <v>1266.5114477192576</v>
      </c>
      <c r="S95" s="53">
        <f>+S87/POWER((1+S92/100),10)</f>
        <v>1254.2152200714979</v>
      </c>
      <c r="T95" s="53">
        <f>+T87/POWER((1+T92/100),11)</f>
        <v>1242.0383732746875</v>
      </c>
      <c r="U95" s="53">
        <f>+U87/POWER((1+U92/100),12)</f>
        <v>1229.9797482914382</v>
      </c>
      <c r="V95" s="53">
        <f>+V87/POWER((1+V92/100),13)</f>
        <v>1218.0381973371525</v>
      </c>
      <c r="W95" s="53">
        <f>+W87/POWER((1+W92/100),14)</f>
        <v>1206.2125837707722</v>
      </c>
      <c r="X95" s="53">
        <f>+X87/POWER((1+X92/100),15)</f>
        <v>1194.50178198659</v>
      </c>
      <c r="Y95" s="53">
        <f>+Y87/POWER((1+Y92/100),16)</f>
        <v>1182.9046773071086</v>
      </c>
      <c r="Z95" s="53">
        <f>+Z87/POWER((1+Z92/100),17)</f>
        <v>1171.4201658769425</v>
      </c>
      <c r="AA95" s="53">
        <f>+AA87/POWER((1+AA92/100),18)</f>
        <v>1160.0471545577491</v>
      </c>
      <c r="AB95" s="53">
        <f>+AB87/POWER((1+AB92/100),19)</f>
        <v>1148.7845608241787</v>
      </c>
      <c r="AC95" s="53">
        <f>+AC87/POWER((1+AC92/100),20)</f>
        <v>1137.6313126608375</v>
      </c>
      <c r="AD95" s="53">
        <f>+AD87/POWER((1+AD92/100),21)</f>
        <v>0</v>
      </c>
      <c r="AE95" s="53">
        <f>+AE87/POWER((1+AE92/100),22)</f>
        <v>0</v>
      </c>
      <c r="AF95" s="53">
        <f>+AF87/POWER((1+AF92/100),23)</f>
        <v>0</v>
      </c>
      <c r="AG95" s="53">
        <f>+AG87/POWER((1+AG92/100),24)</f>
        <v>0</v>
      </c>
      <c r="AH95" s="53">
        <f>+AH87/POWER((1+AH92/100),25)</f>
        <v>0</v>
      </c>
    </row>
    <row r="96" spans="1:34" s="51" customFormat="1" x14ac:dyDescent="0.25">
      <c r="H96" s="60" t="s">
        <v>48</v>
      </c>
      <c r="I96" s="49"/>
      <c r="J96" s="49">
        <f>+J88/(1+J93/100)</f>
        <v>72906.125780970877</v>
      </c>
      <c r="K96" s="49">
        <f>+K88/POWER((1+K93/100),2)</f>
        <v>72198.299317077937</v>
      </c>
      <c r="L96" s="49">
        <f>+L88/POWER((1+L93/100),3)</f>
        <v>71497.344954776243</v>
      </c>
      <c r="M96" s="49">
        <f>+M88/POWER((1+M93/100),4)</f>
        <v>70803.195974632778</v>
      </c>
      <c r="N96" s="49">
        <f>+N88/POWER((1+N93/100),5)</f>
        <v>70115.78630497618</v>
      </c>
      <c r="O96" s="49">
        <f>+O88/POWER((1+O93/100),6)</f>
        <v>69435.050515607451</v>
      </c>
      <c r="P96" s="49">
        <f>+P88/POWER((1+P93/100),7)</f>
        <v>68760.923811572444</v>
      </c>
      <c r="Q96" s="49">
        <f>+Q88/POWER((1+Q93/100),8)</f>
        <v>68093.342026994083</v>
      </c>
      <c r="R96" s="49">
        <f>+R88/POWER((1+R93/100),9)</f>
        <v>67432.241618964996</v>
      </c>
      <c r="S96" s="49">
        <f>+S88/POWER((1+S93/100),10)</f>
        <v>66777.559661499326</v>
      </c>
      <c r="T96" s="49">
        <f>+T88/POWER((1+T93/100),11)</f>
        <v>66129.233839543012</v>
      </c>
      <c r="U96" s="49">
        <f>+U88/POWER((1+U93/100),12)</f>
        <v>65487.202443042603</v>
      </c>
      <c r="V96" s="49">
        <f>+V88/POWER((1+V93/100),13)</f>
        <v>64851.404361071327</v>
      </c>
      <c r="W96" s="49">
        <f>+W88/POWER((1+W93/100),14)</f>
        <v>64221.779076012353</v>
      </c>
      <c r="X96" s="49">
        <f>+X88/POWER((1+X93/100),15)</f>
        <v>63598.266657798653</v>
      </c>
      <c r="Y96" s="49">
        <f>+Y88/POWER((1+Y93/100),16)</f>
        <v>62980.807758208393</v>
      </c>
      <c r="Z96" s="49">
        <f>+Z88/POWER((1+Z93/100),17)</f>
        <v>62369.343605216069</v>
      </c>
      <c r="AA96" s="49">
        <f>+AA88/POWER((1+AA93/100),18)</f>
        <v>61763.815997398444</v>
      </c>
      <c r="AB96" s="49">
        <f>+AB88/POWER((1+AB93/100),19)</f>
        <v>61164.167298394575</v>
      </c>
      <c r="AC96" s="49">
        <f>+AC88/POWER((1+AC93/100),20)</f>
        <v>60570.340431419878</v>
      </c>
      <c r="AD96" s="49">
        <v>0</v>
      </c>
      <c r="AE96" s="49">
        <v>0</v>
      </c>
      <c r="AF96" s="49">
        <v>0</v>
      </c>
      <c r="AG96" s="49">
        <v>0</v>
      </c>
      <c r="AH96" s="49">
        <v>0</v>
      </c>
    </row>
    <row r="97" spans="1:34" s="25" customFormat="1" x14ac:dyDescent="0.25">
      <c r="H97" s="25" t="s">
        <v>49</v>
      </c>
      <c r="J97" s="43">
        <f>+J89/(1+J92/100)</f>
        <v>1060.9713500970872</v>
      </c>
      <c r="K97" s="43">
        <f>+K89/POWER((1+K92/100),2)</f>
        <v>1050.670657377698</v>
      </c>
      <c r="L97" s="43">
        <f>+L89/POWER((1+L92/100),3)</f>
        <v>1040.4699713837399</v>
      </c>
      <c r="M97" s="43">
        <f>+M89/POWER((1+M92/100),4)</f>
        <v>1030.3683211761311</v>
      </c>
      <c r="N97" s="43">
        <f>+N89/POWER((1+N92/100),5)</f>
        <v>1020.3647452423821</v>
      </c>
      <c r="O97" s="43">
        <f>+O89/POWER((1+O92/100),6)</f>
        <v>1010.4582914050776</v>
      </c>
      <c r="P97" s="43">
        <f>+P89/POWER((1+P92/100),7)</f>
        <v>1000.6480167312417</v>
      </c>
      <c r="Q97" s="43">
        <f>+Q89/POWER((1+Q92/100),8)</f>
        <v>990.93298744258902</v>
      </c>
      <c r="R97" s="43">
        <f>+R89/POWER((1+R92/100),9)</f>
        <v>981.31227882664143</v>
      </c>
      <c r="S97" s="43">
        <f>+S89/POWER((1+S92/100),10)</f>
        <v>971.78497514871287</v>
      </c>
      <c r="T97" s="43">
        <f>+T89/POWER((1+T92/100),11)</f>
        <v>962.35016956474499</v>
      </c>
      <c r="U97" s="43">
        <f>+U89/POWER((1+U92/100),12)</f>
        <v>953.00696403499046</v>
      </c>
      <c r="V97" s="43">
        <f>+V89/POWER((1+V92/100),13)</f>
        <v>943.75446923853406</v>
      </c>
      <c r="W97" s="43">
        <f>+W89/POWER((1+W92/100),14)</f>
        <v>934.59180448864527</v>
      </c>
      <c r="X97" s="43">
        <f>+X89/POWER((1+X92/100),15)</f>
        <v>925.51809764894949</v>
      </c>
      <c r="Y97" s="43">
        <f>+Y89/POWER((1+Y92/100),16)</f>
        <v>916.53248505041643</v>
      </c>
      <c r="Z97" s="43">
        <f>+Z89/POWER((1+Z92/100),17)</f>
        <v>907.63411140915002</v>
      </c>
      <c r="AA97" s="43">
        <f>+AA89/POWER((1+AA92/100),18)</f>
        <v>898.82212974498384</v>
      </c>
      <c r="AB97" s="43">
        <f>+AB89/POWER((1+AB92/100),19)</f>
        <v>890.09570130085751</v>
      </c>
      <c r="AC97" s="43">
        <f>+AC89/POWER((1+AC92/100),20)</f>
        <v>881.4539954629854</v>
      </c>
      <c r="AD97" s="43">
        <f>+AD89/POWER((1+AD92/100),21)</f>
        <v>0</v>
      </c>
      <c r="AE97" s="43">
        <f>+AE89/POWER((1+AE92/100),22)</f>
        <v>0</v>
      </c>
      <c r="AF97" s="43">
        <f>+AF89/POWER((1+AF92/100),23)</f>
        <v>0</v>
      </c>
      <c r="AG97" s="43">
        <f>+AG89/POWER((1+AG92/100),24)</f>
        <v>0</v>
      </c>
      <c r="AH97" s="43">
        <f>+AH89/POWER((1+AH92/100),25)</f>
        <v>0</v>
      </c>
    </row>
    <row r="98" spans="1:34" x14ac:dyDescent="0.25">
      <c r="A98" s="25"/>
      <c r="H98" s="29" t="s">
        <v>50</v>
      </c>
      <c r="I98" s="29"/>
      <c r="J98" s="50">
        <f>+J90/(1+J93/100)</f>
        <v>56486.645569335298</v>
      </c>
      <c r="K98" s="50">
        <f>+K90/POWER((1+K93/100),2)</f>
        <v>55938.231534681552</v>
      </c>
      <c r="L98" s="50">
        <f>+L90/POWER((1+L93/100),3)</f>
        <v>55395.141908131256</v>
      </c>
      <c r="M98" s="50">
        <f>+M90/POWER((1+M93/100),4)</f>
        <v>54857.32499640184</v>
      </c>
      <c r="N98" s="50">
        <f>+N90/POWER((1+N93/100),5)</f>
        <v>54324.729608087262</v>
      </c>
      <c r="O98" s="50">
        <f>+O90/POWER((1+O93/100),6)</f>
        <v>53797.305048785434</v>
      </c>
      <c r="P98" s="50">
        <f>+P90/POWER((1+P93/100),7)</f>
        <v>53275.001116272957</v>
      </c>
      <c r="Q98" s="50">
        <f>+Q90/POWER((1+Q93/100),8)</f>
        <v>52757.768095726628</v>
      </c>
      <c r="R98" s="50">
        <f>+R90/POWER((1+R93/100),9)</f>
        <v>52245.556754991405</v>
      </c>
      <c r="S98" s="50">
        <f>+S90/POWER((1+S93/100),10)</f>
        <v>51738.318339894409</v>
      </c>
      <c r="T98" s="50">
        <f>+T90/POWER((1+T93/100),11)</f>
        <v>51236.004569604163</v>
      </c>
      <c r="U98" s="50">
        <f>+U90/POWER((1+U93/100),12)</f>
        <v>50738.567632035199</v>
      </c>
      <c r="V98" s="50">
        <f>+V90/POWER((1+V93/100),13)</f>
        <v>50245.960179296992</v>
      </c>
      <c r="W98" s="50">
        <f>+W90/POWER((1+W93/100),14)</f>
        <v>49758.135323187307</v>
      </c>
      <c r="X98" s="50">
        <f>+X90/POWER((1+X93/100),15)</f>
        <v>49275.046630729186</v>
      </c>
      <c r="Y98" s="50">
        <f>+Y90/POWER((1+Y93/100),16)</f>
        <v>48796.64811975124</v>
      </c>
      <c r="Z98" s="50">
        <f>+Z90/POWER((1+Z93/100),17)</f>
        <v>48322.894254510931</v>
      </c>
      <c r="AA98" s="50">
        <f>+AA90/POWER((1+AA93/100),18)</f>
        <v>47853.739941360349</v>
      </c>
      <c r="AB98" s="50">
        <f>+AB90/POWER((1+AB93/100),19)</f>
        <v>47389.14052445392</v>
      </c>
      <c r="AC98" s="50">
        <f>+AC90/POWER((1+AC93/100),20)</f>
        <v>46929.05178149807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1:34" x14ac:dyDescent="0.25">
      <c r="A99" s="25"/>
      <c r="H99" t="s">
        <v>31</v>
      </c>
      <c r="J99">
        <v>1</v>
      </c>
      <c r="K99">
        <v>2</v>
      </c>
      <c r="L99">
        <v>3</v>
      </c>
      <c r="M99">
        <v>4</v>
      </c>
      <c r="N99">
        <v>5</v>
      </c>
      <c r="O99">
        <v>6</v>
      </c>
      <c r="P99">
        <v>7</v>
      </c>
      <c r="Q99">
        <v>8</v>
      </c>
      <c r="R99">
        <v>9</v>
      </c>
      <c r="S99">
        <v>10</v>
      </c>
      <c r="T99">
        <v>11</v>
      </c>
      <c r="U99">
        <v>12</v>
      </c>
      <c r="V99">
        <v>13</v>
      </c>
      <c r="W99">
        <v>14</v>
      </c>
      <c r="X99">
        <v>15</v>
      </c>
      <c r="Y99">
        <v>16</v>
      </c>
      <c r="Z99">
        <v>17</v>
      </c>
      <c r="AA99">
        <v>18</v>
      </c>
      <c r="AB99">
        <v>19</v>
      </c>
      <c r="AC99">
        <v>20</v>
      </c>
      <c r="AD99">
        <v>21</v>
      </c>
      <c r="AE99">
        <v>22</v>
      </c>
      <c r="AF99">
        <v>23</v>
      </c>
      <c r="AG99">
        <v>24</v>
      </c>
      <c r="AH99">
        <v>25</v>
      </c>
    </row>
    <row r="100" spans="1:34" x14ac:dyDescent="0.25">
      <c r="A100" s="25"/>
    </row>
    <row r="101" spans="1:34" x14ac:dyDescent="0.25">
      <c r="A101" s="25" t="s">
        <v>54</v>
      </c>
      <c r="H101" s="25" t="s">
        <v>47</v>
      </c>
      <c r="I101" s="25"/>
      <c r="J101" s="44">
        <f>SUM(J95:AH95)</f>
        <v>25001.75828859469</v>
      </c>
    </row>
    <row r="102" spans="1:34" x14ac:dyDescent="0.25">
      <c r="H102" s="29" t="s">
        <v>48</v>
      </c>
      <c r="I102" s="29"/>
      <c r="J102" s="49">
        <f>SUM(J96:AH96)</f>
        <v>1331156.2314351776</v>
      </c>
    </row>
    <row r="103" spans="1:34" x14ac:dyDescent="0.25">
      <c r="H103" s="25" t="s">
        <v>49</v>
      </c>
      <c r="I103" s="25"/>
      <c r="J103" s="43">
        <f>SUM(J97:AH97)</f>
        <v>19371.741522775563</v>
      </c>
    </row>
    <row r="104" spans="1:34" x14ac:dyDescent="0.25">
      <c r="H104" s="29" t="s">
        <v>50</v>
      </c>
      <c r="I104" s="29"/>
      <c r="J104" s="50">
        <f>SUM(J98:AH98)</f>
        <v>1031361.2119287355</v>
      </c>
    </row>
    <row r="105" spans="1:34" ht="15.75" thickBot="1" x14ac:dyDescent="0.3"/>
    <row r="106" spans="1:34" ht="16.5" thickTop="1" thickBot="1" x14ac:dyDescent="0.3">
      <c r="A106" t="s">
        <v>68</v>
      </c>
      <c r="D106" s="9">
        <f>'First Sheet'!B8</f>
        <v>20</v>
      </c>
    </row>
    <row r="107" spans="1:34" ht="15.75" thickTop="1" x14ac:dyDescent="0.25">
      <c r="A107" s="29" t="s">
        <v>71</v>
      </c>
      <c r="B107" s="29"/>
      <c r="C107" s="29"/>
      <c r="D107" s="29">
        <v>20</v>
      </c>
    </row>
    <row r="108" spans="1:34" ht="15.75" thickBot="1" x14ac:dyDescent="0.3">
      <c r="D108" s="11"/>
      <c r="H108" s="34" t="s">
        <v>120</v>
      </c>
    </row>
    <row r="109" spans="1:34" ht="19.5" thickBot="1" x14ac:dyDescent="0.35">
      <c r="A109" s="31" t="s">
        <v>69</v>
      </c>
      <c r="B109" s="31"/>
      <c r="C109" s="31"/>
      <c r="D109" s="31"/>
      <c r="E109" s="31"/>
      <c r="F109" s="31"/>
      <c r="G109" s="63">
        <f>+J101*J92/100*POWER((1+J92/100),D106)/(POWER((1+J92/100), D106)-1)</f>
        <v>1680.5108745335308</v>
      </c>
      <c r="H109" s="61">
        <f>+J102*J93/100*POWER((1+J93/100),D107)/(POWER((1+J93/100),D107)-1)</f>
        <v>89474.608017883875</v>
      </c>
    </row>
    <row r="110" spans="1:34" ht="19.5" thickBot="1" x14ac:dyDescent="0.35">
      <c r="A110" s="31" t="s">
        <v>70</v>
      </c>
      <c r="B110" s="31"/>
      <c r="C110" s="31"/>
      <c r="D110" s="31"/>
      <c r="E110" s="31"/>
      <c r="F110" s="31"/>
      <c r="G110" s="62">
        <f>+J103*J92/100*POWER((1+J92/100),D106)/(POWER((1+J92/100),D106)-1)</f>
        <v>1302.0853138368172</v>
      </c>
      <c r="H110" s="39">
        <f>+J104*J93/100*POWER((1+J93/100),D107)/(POWER((1+J93/100),D107)-1)</f>
        <v>69323.673647744174</v>
      </c>
    </row>
  </sheetData>
  <mergeCells count="1">
    <mergeCell ref="A75:F75"/>
  </mergeCells>
  <phoneticPr fontId="8" type="noConversion"/>
  <dataValidations count="1">
    <dataValidation type="list" allowBlank="1" showInputMessage="1" showErrorMessage="1" sqref="A75" xr:uid="{00000000-0002-0000-0400-000000000000}">
      <formula1>ValidFieldM</formula1>
    </dataValidation>
  </dataValidations>
  <pageMargins left="0.25" right="0.25" top="0.75" bottom="0.75" header="0.3" footer="0.3"/>
  <pageSetup paperSize="9" orientation="landscape" horizontalDpi="4294967292" verticalDpi="4294967292"/>
  <rowBreaks count="2" manualBreakCount="2">
    <brk id="31" max="16383" man="1"/>
    <brk id="9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zoomScale="125" zoomScaleNormal="125" zoomScalePageLayoutView="125" workbookViewId="0">
      <selection activeCell="I33" sqref="I33"/>
    </sheetView>
  </sheetViews>
  <sheetFormatPr defaultColWidth="8.85546875" defaultRowHeight="15" x14ac:dyDescent="0.25"/>
  <cols>
    <col min="4" max="4" width="13.140625" bestFit="1" customWidth="1"/>
    <col min="8" max="8" width="14.42578125" style="47" customWidth="1"/>
    <col min="9" max="9" width="16" style="48" customWidth="1"/>
    <col min="10" max="10" width="13" bestFit="1" customWidth="1"/>
    <col min="11" max="11" width="13.42578125" bestFit="1" customWidth="1"/>
  </cols>
  <sheetData>
    <row r="1" spans="1:11" s="31" customFormat="1" ht="18.75" x14ac:dyDescent="0.3">
      <c r="A1" s="31" t="s">
        <v>58</v>
      </c>
      <c r="H1" s="68"/>
      <c r="I1" s="70"/>
    </row>
    <row r="2" spans="1:11" x14ac:dyDescent="0.25">
      <c r="H2" s="47" t="s">
        <v>122</v>
      </c>
      <c r="I2" s="48" t="s">
        <v>123</v>
      </c>
      <c r="J2" s="29" t="s">
        <v>48</v>
      </c>
      <c r="K2" s="29" t="s">
        <v>50</v>
      </c>
    </row>
    <row r="3" spans="1:11" x14ac:dyDescent="0.25">
      <c r="A3" s="25" t="s">
        <v>59</v>
      </c>
      <c r="H3" s="69">
        <f>'Paint-only in-shop'!C34</f>
        <v>77293.727999999988</v>
      </c>
      <c r="I3" s="71">
        <f>'Paint-only in-shop'!B34</f>
        <v>59876.160000000003</v>
      </c>
      <c r="J3" s="35">
        <v>58856.18</v>
      </c>
      <c r="K3" s="46">
        <v>45603.72</v>
      </c>
    </row>
    <row r="4" spans="1:11" x14ac:dyDescent="0.25">
      <c r="A4" s="25" t="s">
        <v>60</v>
      </c>
      <c r="H4" s="69">
        <f>'Maintenance Paint-Only'!J101</f>
        <v>3346170.9345414238</v>
      </c>
      <c r="I4" s="71">
        <f>'Maintenance Paint-Only'!J103</f>
        <v>2592987.1947956914</v>
      </c>
      <c r="J4" s="35">
        <v>3337235.93</v>
      </c>
      <c r="K4" s="46">
        <v>2585643.6800000002</v>
      </c>
    </row>
    <row r="5" spans="1:11" x14ac:dyDescent="0.25">
      <c r="A5" s="25" t="s">
        <v>63</v>
      </c>
      <c r="H5" s="69">
        <f>SUM(H3:H4)</f>
        <v>3423464.6625414239</v>
      </c>
      <c r="I5" s="71">
        <f>SUM(I3:I4)</f>
        <v>2652863.3547956916</v>
      </c>
      <c r="J5" s="35">
        <f>+J3+J4</f>
        <v>3396092.1100000003</v>
      </c>
      <c r="K5" s="46">
        <f>+K3+K4</f>
        <v>2631247.4000000004</v>
      </c>
    </row>
    <row r="6" spans="1:11" x14ac:dyDescent="0.25">
      <c r="A6" s="25"/>
      <c r="K6" s="22"/>
    </row>
    <row r="7" spans="1:11" x14ac:dyDescent="0.25">
      <c r="A7" s="25" t="s">
        <v>61</v>
      </c>
      <c r="H7" s="69">
        <f>'TS+Paint in-shop'!C34</f>
        <v>96008.111999999994</v>
      </c>
      <c r="I7" s="71">
        <f>'TS+Paint in-shop'!B34</f>
        <v>74400.244000000006</v>
      </c>
      <c r="J7" s="35">
        <v>81944.639999999999</v>
      </c>
      <c r="K7" s="46">
        <v>63493.42</v>
      </c>
    </row>
    <row r="8" spans="1:11" x14ac:dyDescent="0.25">
      <c r="A8" s="25" t="s">
        <v>62</v>
      </c>
      <c r="H8" s="69">
        <f>'Maintenance TS+Paint'!J101</f>
        <v>25001.75828859469</v>
      </c>
      <c r="I8" s="71">
        <f>'Maintenance TS+Paint'!J103</f>
        <v>19371.741522775563</v>
      </c>
      <c r="J8" s="35">
        <v>1331156.23</v>
      </c>
      <c r="K8" s="46">
        <v>1031361.21</v>
      </c>
    </row>
    <row r="9" spans="1:11" x14ac:dyDescent="0.25">
      <c r="A9" s="25" t="s">
        <v>64</v>
      </c>
      <c r="H9" s="69">
        <f>SUM(H7:H8)</f>
        <v>121009.87028859468</v>
      </c>
      <c r="I9" s="71">
        <f>SUM(I7:I8)</f>
        <v>93771.985522775562</v>
      </c>
      <c r="J9" s="35">
        <f>+J7+J8</f>
        <v>1413100.8699999999</v>
      </c>
      <c r="K9" s="46">
        <f>+K7+K8</f>
        <v>1094854.6299999999</v>
      </c>
    </row>
    <row r="10" spans="1:11" x14ac:dyDescent="0.25">
      <c r="A10" s="25"/>
    </row>
    <row r="11" spans="1:11" x14ac:dyDescent="0.25">
      <c r="A11" s="25" t="s">
        <v>65</v>
      </c>
      <c r="H11" s="69">
        <f>+H5-H9</f>
        <v>3302454.7922528293</v>
      </c>
      <c r="I11" s="71">
        <f>I5-I9</f>
        <v>2559091.3692729161</v>
      </c>
      <c r="J11" s="35">
        <f>+J5-J9</f>
        <v>1982991.2400000005</v>
      </c>
      <c r="K11" s="46">
        <f>+K5-K9</f>
        <v>1536392.7700000005</v>
      </c>
    </row>
    <row r="12" spans="1:11" x14ac:dyDescent="0.25">
      <c r="A12" s="25"/>
    </row>
    <row r="13" spans="1:11" x14ac:dyDescent="0.25">
      <c r="A13" s="25"/>
    </row>
    <row r="14" spans="1:11" ht="15.75" thickBot="1" x14ac:dyDescent="0.3">
      <c r="A14" s="25" t="s">
        <v>76</v>
      </c>
    </row>
    <row r="15" spans="1:11" ht="16.5" thickTop="1" thickBot="1" x14ac:dyDescent="0.3">
      <c r="A15" s="25" t="s">
        <v>72</v>
      </c>
      <c r="F15" s="23">
        <f>'First Sheet'!B8</f>
        <v>20</v>
      </c>
      <c r="G15" t="s">
        <v>73</v>
      </c>
    </row>
    <row r="16" spans="1:11" ht="15.75" thickTop="1" x14ac:dyDescent="0.25">
      <c r="A16" s="25" t="s">
        <v>3</v>
      </c>
      <c r="F16" s="42">
        <v>20</v>
      </c>
      <c r="G16" t="s">
        <v>73</v>
      </c>
    </row>
    <row r="17" spans="1:11" x14ac:dyDescent="0.25">
      <c r="A17" s="25"/>
    </row>
    <row r="18" spans="1:11" x14ac:dyDescent="0.25">
      <c r="A18" s="25" t="s">
        <v>74</v>
      </c>
    </row>
    <row r="19" spans="1:11" x14ac:dyDescent="0.25">
      <c r="A19" s="25" t="s">
        <v>2</v>
      </c>
      <c r="H19" s="69">
        <f>H3/F15</f>
        <v>3864.6863999999996</v>
      </c>
      <c r="I19" s="71">
        <f>I3/F15</f>
        <v>2993.808</v>
      </c>
      <c r="J19" s="35">
        <f>J3/F16</f>
        <v>2942.8090000000002</v>
      </c>
      <c r="K19" s="46">
        <f>K3/F16</f>
        <v>2280.1860000000001</v>
      </c>
    </row>
    <row r="20" spans="1:11" x14ac:dyDescent="0.25">
      <c r="A20" s="25" t="s">
        <v>77</v>
      </c>
      <c r="H20" s="69">
        <f>'Maintenance Paint-Only'!G109</f>
        <v>224915.24710524533</v>
      </c>
      <c r="I20" s="71">
        <f>'Maintenance Paint-Only'!G110</f>
        <v>174289.46908778726</v>
      </c>
      <c r="J20" s="35">
        <v>224314.67</v>
      </c>
      <c r="K20" s="46">
        <v>173795.87</v>
      </c>
    </row>
    <row r="21" spans="1:11" x14ac:dyDescent="0.25">
      <c r="A21" s="25" t="s">
        <v>79</v>
      </c>
      <c r="H21" s="69">
        <f>+H19+H20</f>
        <v>228779.93350524534</v>
      </c>
      <c r="I21" s="71">
        <f>SUM(I20)</f>
        <v>174289.46908778726</v>
      </c>
      <c r="J21" s="35">
        <f>+J19+J20</f>
        <v>227257.47900000002</v>
      </c>
      <c r="K21" s="46">
        <f>+K19+K20</f>
        <v>176076.05599999998</v>
      </c>
    </row>
    <row r="22" spans="1:11" x14ac:dyDescent="0.25">
      <c r="A22" s="25"/>
      <c r="J22" s="10"/>
      <c r="K22" s="22"/>
    </row>
    <row r="23" spans="1:11" x14ac:dyDescent="0.25">
      <c r="A23" s="25" t="s">
        <v>75</v>
      </c>
      <c r="H23" s="69">
        <f>H7/F15</f>
        <v>4800.4056</v>
      </c>
      <c r="I23" s="71">
        <f>I7/F15</f>
        <v>3720.0122000000001</v>
      </c>
      <c r="J23" s="35">
        <f>+J7/F16</f>
        <v>4097.232</v>
      </c>
      <c r="K23" s="46">
        <f>+K7/F16</f>
        <v>3174.6709999999998</v>
      </c>
    </row>
    <row r="24" spans="1:11" x14ac:dyDescent="0.25">
      <c r="A24" s="25" t="s">
        <v>78</v>
      </c>
      <c r="H24" s="69">
        <f>'Maintenance TS+Paint'!G109</f>
        <v>1680.5108745335308</v>
      </c>
      <c r="I24" s="71">
        <f>'Maintenance TS+Paint'!G110</f>
        <v>1302.0853138368172</v>
      </c>
      <c r="J24" s="35">
        <v>89474.61</v>
      </c>
      <c r="K24" s="46">
        <v>69323.67</v>
      </c>
    </row>
    <row r="25" spans="1:11" x14ac:dyDescent="0.25">
      <c r="A25" s="25" t="s">
        <v>80</v>
      </c>
      <c r="H25" s="69">
        <f>+H24+H23</f>
        <v>6480.9164745335311</v>
      </c>
      <c r="I25" s="71">
        <f>SUM(I23:I24)</f>
        <v>5022.0975138368176</v>
      </c>
      <c r="J25" s="35">
        <f>+J24+J23</f>
        <v>93571.842000000004</v>
      </c>
      <c r="K25" s="46">
        <f>+K24+K23</f>
        <v>72498.341</v>
      </c>
    </row>
    <row r="26" spans="1:11" ht="15.75" thickBot="1" x14ac:dyDescent="0.3">
      <c r="A26" s="25"/>
    </row>
    <row r="27" spans="1:11" s="67" customFormat="1" ht="19.5" thickBot="1" x14ac:dyDescent="0.35">
      <c r="A27" s="31" t="s">
        <v>81</v>
      </c>
      <c r="H27" s="83">
        <f>+H21-H25</f>
        <v>222299.01703071181</v>
      </c>
      <c r="I27" s="45">
        <f>I21-I25</f>
        <v>169267.37157395046</v>
      </c>
      <c r="J27" s="84">
        <f>+J21-J25</f>
        <v>133685.63700000002</v>
      </c>
      <c r="K27" s="82">
        <f>+K21-K25</f>
        <v>103577.71499999998</v>
      </c>
    </row>
    <row r="28" spans="1:11" x14ac:dyDescent="0.25">
      <c r="A28" s="25"/>
    </row>
    <row r="29" spans="1:11" ht="15.75" thickBot="1" x14ac:dyDescent="0.3">
      <c r="A29" s="25"/>
    </row>
    <row r="30" spans="1:11" ht="15.75" thickBot="1" x14ac:dyDescent="0.3">
      <c r="A30" s="25" t="s">
        <v>127</v>
      </c>
      <c r="D30" s="75">
        <f>'First Sheet'!B11</f>
        <v>13000000</v>
      </c>
    </row>
    <row r="31" spans="1:11" x14ac:dyDescent="0.25">
      <c r="A31" s="80" t="s">
        <v>130</v>
      </c>
      <c r="B31" s="29"/>
      <c r="C31" s="29"/>
      <c r="D31" s="72">
        <f>'First Sheet'!G11</f>
        <v>13000000</v>
      </c>
      <c r="G31" s="47"/>
      <c r="H31" s="48"/>
      <c r="I31"/>
    </row>
    <row r="32" spans="1:11" s="25" customFormat="1" x14ac:dyDescent="0.25">
      <c r="A32" s="25" t="s">
        <v>128</v>
      </c>
      <c r="D32" s="76">
        <f>H27*100/D30</f>
        <v>1.7099924386977832</v>
      </c>
      <c r="E32" s="25" t="s">
        <v>133</v>
      </c>
      <c r="H32" s="58"/>
      <c r="I32" s="64"/>
    </row>
    <row r="33" spans="1:9" x14ac:dyDescent="0.25">
      <c r="A33" s="81" t="s">
        <v>131</v>
      </c>
      <c r="B33" s="29"/>
      <c r="C33" s="29"/>
      <c r="D33" s="79">
        <f>J27*100/D31</f>
        <v>1.028351053846154</v>
      </c>
      <c r="E33" s="29" t="s">
        <v>133</v>
      </c>
      <c r="F33" s="29"/>
    </row>
    <row r="34" spans="1:9" s="25" customFormat="1" x14ac:dyDescent="0.25">
      <c r="A34" s="25" t="s">
        <v>129</v>
      </c>
      <c r="D34" s="76">
        <f>I27*100/D30</f>
        <v>1.3020567044150035</v>
      </c>
      <c r="E34" s="25" t="s">
        <v>134</v>
      </c>
      <c r="H34" s="58"/>
      <c r="I34" s="64"/>
    </row>
    <row r="35" spans="1:9" s="51" customFormat="1" x14ac:dyDescent="0.25">
      <c r="A35" s="29" t="s">
        <v>132</v>
      </c>
      <c r="B35" s="29"/>
      <c r="C35" s="29"/>
      <c r="D35" s="79">
        <f>K27*100/D31</f>
        <v>0.79675165384615365</v>
      </c>
      <c r="E35" s="29" t="s">
        <v>134</v>
      </c>
      <c r="F35" s="29"/>
      <c r="H35" s="77"/>
      <c r="I35" s="78"/>
    </row>
  </sheetData>
  <phoneticPr fontId="8" type="noConversion"/>
  <pageMargins left="0.25" right="0.25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"/>
  <sheetViews>
    <sheetView zoomScale="150" zoomScaleNormal="150" zoomScalePageLayoutView="150" workbookViewId="0">
      <selection activeCell="F14" sqref="F14"/>
    </sheetView>
  </sheetViews>
  <sheetFormatPr defaultColWidth="11.42578125" defaultRowHeight="15" x14ac:dyDescent="0.25"/>
  <cols>
    <col min="1" max="1" width="33" bestFit="1" customWidth="1"/>
    <col min="2" max="2" width="17.42578125" bestFit="1" customWidth="1"/>
  </cols>
  <sheetData>
    <row r="1" spans="1:2" x14ac:dyDescent="0.25">
      <c r="A1" s="25" t="s">
        <v>119</v>
      </c>
      <c r="B1" s="25"/>
    </row>
    <row r="4" spans="1:2" x14ac:dyDescent="0.25">
      <c r="A4" s="26" t="s">
        <v>106</v>
      </c>
    </row>
    <row r="6" spans="1:2" x14ac:dyDescent="0.25">
      <c r="A6" t="s">
        <v>43</v>
      </c>
    </row>
    <row r="7" spans="1:2" x14ac:dyDescent="0.25">
      <c r="A7" t="s">
        <v>12</v>
      </c>
      <c r="B7" t="s">
        <v>13</v>
      </c>
    </row>
    <row r="8" spans="1:2" x14ac:dyDescent="0.25">
      <c r="A8" t="s">
        <v>107</v>
      </c>
      <c r="B8" s="7">
        <v>1.2</v>
      </c>
    </row>
    <row r="9" spans="1:2" x14ac:dyDescent="0.25">
      <c r="A9" t="s">
        <v>108</v>
      </c>
      <c r="B9" s="7">
        <v>1.1000000000000001</v>
      </c>
    </row>
    <row r="10" spans="1:2" x14ac:dyDescent="0.25">
      <c r="A10" t="s">
        <v>109</v>
      </c>
      <c r="B10" s="7">
        <v>1</v>
      </c>
    </row>
    <row r="11" spans="1:2" x14ac:dyDescent="0.25">
      <c r="A11" t="s">
        <v>110</v>
      </c>
      <c r="B11" s="7">
        <v>0.95</v>
      </c>
    </row>
    <row r="12" spans="1:2" x14ac:dyDescent="0.25">
      <c r="A12" t="s">
        <v>111</v>
      </c>
      <c r="B12" s="7">
        <v>0.9</v>
      </c>
    </row>
    <row r="13" spans="1:2" x14ac:dyDescent="0.25">
      <c r="A13" t="s">
        <v>112</v>
      </c>
      <c r="B13" s="7">
        <v>0.8</v>
      </c>
    </row>
    <row r="15" spans="1:2" x14ac:dyDescent="0.25">
      <c r="A15" t="s">
        <v>13</v>
      </c>
    </row>
    <row r="16" spans="1:2" x14ac:dyDescent="0.25">
      <c r="A16" t="s">
        <v>44</v>
      </c>
      <c r="B16" t="s">
        <v>13</v>
      </c>
    </row>
    <row r="17" spans="1:2" x14ac:dyDescent="0.25">
      <c r="A17" t="s">
        <v>116</v>
      </c>
      <c r="B17" s="7">
        <v>1.35</v>
      </c>
    </row>
    <row r="18" spans="1:2" x14ac:dyDescent="0.25">
      <c r="A18" t="s">
        <v>117</v>
      </c>
      <c r="B18" s="7">
        <v>1.45</v>
      </c>
    </row>
    <row r="19" spans="1:2" x14ac:dyDescent="0.25">
      <c r="A19" t="s">
        <v>118</v>
      </c>
      <c r="B19" s="7">
        <v>1.5</v>
      </c>
    </row>
    <row r="20" spans="1:2" x14ac:dyDescent="0.25">
      <c r="A20" t="s">
        <v>45</v>
      </c>
      <c r="B20" s="7">
        <v>100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First Sheet</vt:lpstr>
      <vt:lpstr>Paint-only in-shop</vt:lpstr>
      <vt:lpstr>TS+Paint in-shop</vt:lpstr>
      <vt:lpstr>Maintenance Paint-Only</vt:lpstr>
      <vt:lpstr>Maintenance TS+Paint</vt:lpstr>
      <vt:lpstr>Final Sheet</vt:lpstr>
      <vt:lpstr>Menus</vt:lpstr>
      <vt:lpstr>FieldMaintTable</vt:lpstr>
      <vt:lpstr>LookupInShop</vt:lpstr>
      <vt:lpstr>ValidFieldM</vt:lpstr>
      <vt:lpstr>ValidInShop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fegmobile</dc:creator>
  <cp:lastModifiedBy>Frank Goodwin</cp:lastModifiedBy>
  <cp:lastPrinted>2013-10-16T14:42:49Z</cp:lastPrinted>
  <dcterms:created xsi:type="dcterms:W3CDTF">2013-08-19T21:30:58Z</dcterms:created>
  <dcterms:modified xsi:type="dcterms:W3CDTF">2020-06-03T21:24:49Z</dcterms:modified>
</cp:coreProperties>
</file>